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 activeTab="1"/>
  </bookViews>
  <sheets>
    <sheet name="ГВП" sheetId="1" r:id="rId1"/>
    <sheet name="Собівартість" sheetId="2" r:id="rId2"/>
  </sheets>
  <externalReferences>
    <externalReference r:id="rId3"/>
  </externalReferences>
  <definedNames>
    <definedName name="_xlnm.Print_Area" localSheetId="1">Собівартість!$A$1:$M$36</definedName>
  </definedNames>
  <calcPr calcId="152511"/>
</workbook>
</file>

<file path=xl/calcChain.xml><?xml version="1.0" encoding="utf-8"?>
<calcChain xmlns="http://schemas.openxmlformats.org/spreadsheetml/2006/main">
  <c r="L25" i="2" l="1"/>
  <c r="J25" i="2"/>
  <c r="F26" i="2"/>
  <c r="D26" i="2" s="1"/>
  <c r="M32" i="2"/>
  <c r="M33" i="2" s="1"/>
  <c r="K32" i="2"/>
  <c r="K33" i="2" s="1"/>
  <c r="E32" i="2"/>
  <c r="E33" i="2" s="1"/>
  <c r="I31" i="2"/>
  <c r="G31" i="2"/>
  <c r="E31" i="2"/>
  <c r="H27" i="2"/>
  <c r="F27" i="2"/>
  <c r="H26" i="2"/>
  <c r="H25" i="2"/>
  <c r="F25" i="2"/>
  <c r="L24" i="2"/>
  <c r="L26" i="2" s="1"/>
  <c r="L11" i="2" s="1"/>
  <c r="M11" i="2" s="1"/>
  <c r="J24" i="2"/>
  <c r="J26" i="2" s="1"/>
  <c r="J11" i="2" s="1"/>
  <c r="K11" i="2" s="1"/>
  <c r="H24" i="2"/>
  <c r="I28" i="2" s="1"/>
  <c r="F24" i="2"/>
  <c r="L21" i="2"/>
  <c r="J21" i="2"/>
  <c r="D21" i="2"/>
  <c r="H20" i="2"/>
  <c r="I16" i="2"/>
  <c r="I14" i="2"/>
  <c r="C14" i="2"/>
  <c r="I13" i="2"/>
  <c r="H13" i="2"/>
  <c r="H11" i="2"/>
  <c r="H10" i="2"/>
  <c r="E47" i="1"/>
  <c r="D40" i="1"/>
  <c r="C35" i="1"/>
  <c r="C45" i="1" s="1"/>
  <c r="L20" i="2" s="1"/>
  <c r="L13" i="2" s="1"/>
  <c r="M13" i="2" s="1"/>
  <c r="C34" i="1"/>
  <c r="C44" i="1" s="1"/>
  <c r="J20" i="2" s="1"/>
  <c r="J13" i="2" s="1"/>
  <c r="K13" i="2" s="1"/>
  <c r="D32" i="1"/>
  <c r="C32" i="1"/>
  <c r="C42" i="1" s="1"/>
  <c r="F20" i="2" s="1"/>
  <c r="D29" i="1"/>
  <c r="D33" i="1" s="1"/>
  <c r="C29" i="1"/>
  <c r="C33" i="1" s="1"/>
  <c r="C48" i="1" s="1"/>
  <c r="E27" i="1"/>
  <c r="E24" i="1"/>
  <c r="E21" i="1"/>
  <c r="E18" i="1"/>
  <c r="E15" i="1"/>
  <c r="E12" i="1"/>
  <c r="E37" i="1" s="1"/>
  <c r="E42" i="1" s="1"/>
  <c r="E11" i="1"/>
  <c r="E6" i="1"/>
  <c r="D6" i="1"/>
  <c r="C6" i="1"/>
  <c r="F10" i="2" l="1"/>
  <c r="G10" i="2" s="1"/>
  <c r="D20" i="2"/>
  <c r="F13" i="2"/>
  <c r="G13" i="2" s="1"/>
  <c r="I10" i="2"/>
  <c r="F11" i="2"/>
  <c r="I11" i="2"/>
  <c r="I12" i="2"/>
  <c r="I15" i="2"/>
  <c r="I18" i="2"/>
  <c r="D25" i="2"/>
  <c r="G28" i="2"/>
  <c r="D13" i="2"/>
  <c r="C13" i="2" s="1"/>
  <c r="J10" i="2"/>
  <c r="C25" i="2"/>
  <c r="D10" i="2"/>
  <c r="C20" i="2"/>
  <c r="P20" i="2" s="1"/>
  <c r="C26" i="2"/>
  <c r="L10" i="2"/>
  <c r="P13" i="2" s="1"/>
  <c r="Q13" i="2" s="1"/>
  <c r="M28" i="2"/>
  <c r="K28" i="2"/>
  <c r="D24" i="2"/>
  <c r="E45" i="1"/>
  <c r="D48" i="1"/>
  <c r="D39" i="1"/>
  <c r="D37" i="1"/>
  <c r="D42" i="1" s="1"/>
  <c r="D46" i="1"/>
  <c r="E33" i="1"/>
  <c r="E48" i="1" s="1"/>
  <c r="C38" i="1"/>
  <c r="C43" i="1" s="1"/>
  <c r="E38" i="1"/>
  <c r="E43" i="1" s="1"/>
  <c r="E41" i="1" s="1"/>
  <c r="E44" i="1" s="1"/>
  <c r="E46" i="1"/>
  <c r="D47" i="1"/>
  <c r="C37" i="1"/>
  <c r="D38" i="1"/>
  <c r="D43" i="1" s="1"/>
  <c r="C39" i="1"/>
  <c r="C49" i="1" s="1"/>
  <c r="C40" i="1"/>
  <c r="C50" i="1" s="1"/>
  <c r="P11" i="2" l="1"/>
  <c r="Q11" i="2" s="1"/>
  <c r="G11" i="2"/>
  <c r="D11" i="2"/>
  <c r="C11" i="2" s="1"/>
  <c r="K10" i="2"/>
  <c r="P12" i="2"/>
  <c r="Q12" i="2" s="1"/>
  <c r="C10" i="2"/>
  <c r="M10" i="2"/>
  <c r="E28" i="2"/>
  <c r="C24" i="2"/>
  <c r="E13" i="2"/>
  <c r="E11" i="2"/>
  <c r="E10" i="2"/>
  <c r="D45" i="1"/>
  <c r="D41" i="1"/>
  <c r="D44" i="1" s="1"/>
  <c r="C41" i="1"/>
  <c r="C46" i="1" s="1"/>
  <c r="C47" i="1"/>
  <c r="O11" i="2" l="1"/>
  <c r="L16" i="2"/>
  <c r="M16" i="2" s="1"/>
  <c r="H15" i="2"/>
  <c r="L15" i="2"/>
  <c r="H16" i="2"/>
  <c r="F15" i="2"/>
  <c r="J15" i="2"/>
  <c r="F16" i="2"/>
  <c r="J16" i="2"/>
  <c r="K16" i="2" s="1"/>
  <c r="K15" i="2" l="1"/>
  <c r="J14" i="2"/>
  <c r="D16" i="2"/>
  <c r="E16" i="2" s="1"/>
  <c r="G16" i="2"/>
  <c r="D15" i="2"/>
  <c r="E15" i="2" s="1"/>
  <c r="G15" i="2"/>
  <c r="F14" i="2"/>
  <c r="M15" i="2"/>
  <c r="L14" i="2"/>
  <c r="H14" i="2"/>
  <c r="H12" i="2" s="1"/>
  <c r="H17" i="2" s="1"/>
  <c r="K14" i="2" l="1"/>
  <c r="J12" i="2"/>
  <c r="L12" i="2"/>
  <c r="M14" i="2"/>
  <c r="D14" i="2"/>
  <c r="E14" i="2" s="1"/>
  <c r="G14" i="2"/>
  <c r="F12" i="2"/>
  <c r="K12" i="2" l="1"/>
  <c r="J17" i="2"/>
  <c r="K18" i="2" s="1"/>
  <c r="D12" i="2"/>
  <c r="F17" i="2"/>
  <c r="G12" i="2"/>
  <c r="L17" i="2"/>
  <c r="M18" i="2" s="1"/>
  <c r="M12" i="2"/>
  <c r="D17" i="2" l="1"/>
  <c r="G18" i="2"/>
  <c r="E12" i="2"/>
  <c r="C12" i="2"/>
  <c r="E18" i="2" l="1"/>
  <c r="C17" i="2"/>
</calcChain>
</file>

<file path=xl/sharedStrings.xml><?xml version="1.0" encoding="utf-8"?>
<sst xmlns="http://schemas.openxmlformats.org/spreadsheetml/2006/main" count="327" uniqueCount="165">
  <si>
    <t>Інформація щодо обягів теплової енергії та постачання гарячої води на потреби ГВП для потреб населення, бюджетних установ та інших споживачів</t>
  </si>
  <si>
    <t>Кузнецовське міське комунвльне підприємство</t>
  </si>
  <si>
    <t>№ з/п</t>
  </si>
  <si>
    <t>Показник</t>
  </si>
  <si>
    <t>Кількість</t>
  </si>
  <si>
    <t>у тому числі:</t>
  </si>
  <si>
    <t>Без засобів обліку гарячої води (розрахований виходячи з норм витрат гарячої води, м.куб на місяць)</t>
  </si>
  <si>
    <t>1.</t>
  </si>
  <si>
    <t>Кількість абонентів, яким надається послуга з ГВП, у т. ч.:</t>
  </si>
  <si>
    <t xml:space="preserve"> 1.1</t>
  </si>
  <si>
    <t>системи гарячого водопостачання яких обладнано рушникосушками</t>
  </si>
  <si>
    <t xml:space="preserve"> 1.2</t>
  </si>
  <si>
    <t>системи гарячого водопостачання яких не обладнано рушникосушками</t>
  </si>
  <si>
    <t xml:space="preserve"> 1.3</t>
  </si>
  <si>
    <t>бюджетні установи</t>
  </si>
  <si>
    <t xml:space="preserve"> 1.4</t>
  </si>
  <si>
    <t>інші споживачі</t>
  </si>
  <si>
    <t>2.</t>
  </si>
  <si>
    <t>Відповдіна кількість мешканців, яким надається послуга з ГВП</t>
  </si>
  <si>
    <t>3.</t>
  </si>
  <si>
    <t>Фактичний обсяг використання споживачами гарчої води за 2013 рік, куб.м. на рік</t>
  </si>
  <si>
    <t xml:space="preserve">  3.1.1</t>
  </si>
  <si>
    <t xml:space="preserve">норма 1, м.куб на місяць   </t>
  </si>
  <si>
    <t>Х</t>
  </si>
  <si>
    <t xml:space="preserve">  3.1.2</t>
  </si>
  <si>
    <t>кількість мешканців, які отримують послугу ГВП за нормою п. 3.1.1</t>
  </si>
  <si>
    <t xml:space="preserve">  3.1.3</t>
  </si>
  <si>
    <t xml:space="preserve">розрахунковий річний обсяг послуги ГВП за нормою п. 3.1.1, куб.м. </t>
  </si>
  <si>
    <t xml:space="preserve">  3.2.1</t>
  </si>
  <si>
    <t xml:space="preserve">норма 2, м.куб на місяць   </t>
  </si>
  <si>
    <t xml:space="preserve">  3.2.2</t>
  </si>
  <si>
    <t>кількість мешканців, які отримують послугу ГВП за нормою п. 3.2.1</t>
  </si>
  <si>
    <t xml:space="preserve">  3.2.3</t>
  </si>
  <si>
    <t xml:space="preserve">розрахунковий річний обсяг послуги ГВП за нормою п. 3.2.1, куб.м. </t>
  </si>
  <si>
    <t xml:space="preserve">  3.3.1</t>
  </si>
  <si>
    <t xml:space="preserve">норма 3, м.куб на місяць   </t>
  </si>
  <si>
    <t xml:space="preserve">  3.3.2</t>
  </si>
  <si>
    <t>кількість мешканців, які отримують послугу ГВП за нормою п. 3.3.1</t>
  </si>
  <si>
    <t xml:space="preserve">  3.3.3</t>
  </si>
  <si>
    <t xml:space="preserve">розрахунковий річний обсяг послуги ГВП за нормою п. 3.3.1, куб.м. </t>
  </si>
  <si>
    <t xml:space="preserve">  3.4.1</t>
  </si>
  <si>
    <t xml:space="preserve">норма 4, м.куб на місяць   </t>
  </si>
  <si>
    <t xml:space="preserve">  3.4.2</t>
  </si>
  <si>
    <t>кількість мешканців, які отримують послугу ГВП за нормою п. 3.4.1</t>
  </si>
  <si>
    <t xml:space="preserve">  3.4.3</t>
  </si>
  <si>
    <t xml:space="preserve">розрахунковий річний обсяг послуги ГВП за нормою п. 3.4.1, куб.м. </t>
  </si>
  <si>
    <t xml:space="preserve">  3.5.1</t>
  </si>
  <si>
    <t xml:space="preserve">норма 5, м.куб на місяць   </t>
  </si>
  <si>
    <t xml:space="preserve">  3.5.2</t>
  </si>
  <si>
    <t>кількість мешканців, які отримують послугу ГВП за нормою п. 3.5.1</t>
  </si>
  <si>
    <t xml:space="preserve">  3.5.3</t>
  </si>
  <si>
    <t xml:space="preserve">розрахунковий річний обсяг послуги ГВП за нормою п. 3.5.1, куб.м. </t>
  </si>
  <si>
    <t>4.</t>
  </si>
  <si>
    <t>5.</t>
  </si>
  <si>
    <t>6.</t>
  </si>
  <si>
    <t>7.</t>
  </si>
  <si>
    <t xml:space="preserve"> 8.</t>
  </si>
  <si>
    <t>Планований обсяг використання споживачами населення гарчої води, системи гарячого водопостачання яких обладнано рушникосушками, куб.м. на рік</t>
  </si>
  <si>
    <t>9.</t>
  </si>
  <si>
    <t>Планований обсяг використання споживачами населення гарчої води, системи гарячого водопостачання яких не обладнано рушникосушками, куб.м. на рік</t>
  </si>
  <si>
    <t>10.</t>
  </si>
  <si>
    <t>Планований обсяг використання гарячої води споживачами категорії бюджет, куб.м. на рік</t>
  </si>
  <si>
    <t>11.</t>
  </si>
  <si>
    <t>Планований обсяг використання гарячої води споживачами категорії інши, куб.м. на рік</t>
  </si>
  <si>
    <t xml:space="preserve"> 12.</t>
  </si>
  <si>
    <t>Обсяг закупки холодної води для підігріву, куб. м. на рік, у т. ч.:</t>
  </si>
  <si>
    <t xml:space="preserve"> 12.1</t>
  </si>
  <si>
    <t>для споживачів категорії населення, системи гарячого водопостачання яких обладнано рушникосушками</t>
  </si>
  <si>
    <t xml:space="preserve"> 12.2</t>
  </si>
  <si>
    <t>для споживачів категорії населення, системи гарячого водопостачання яких не обладнано рушникосушками</t>
  </si>
  <si>
    <t xml:space="preserve"> 12.3</t>
  </si>
  <si>
    <t>для споживачів категорії бюджет</t>
  </si>
  <si>
    <t xml:space="preserve"> 12.4</t>
  </si>
  <si>
    <t>для споживачів категорії інші</t>
  </si>
  <si>
    <t>13.</t>
  </si>
  <si>
    <t>Кількість теплової енергії, необхідна для підігріву обсягу води п. 7, усього, Гкал на рік, у т. ч.:</t>
  </si>
  <si>
    <t xml:space="preserve"> 13.1</t>
  </si>
  <si>
    <t xml:space="preserve"> 13.2</t>
  </si>
  <si>
    <t xml:space="preserve"> 13.3</t>
  </si>
  <si>
    <t xml:space="preserve"> 13.4</t>
  </si>
  <si>
    <t>14.</t>
  </si>
  <si>
    <t>Нормативна кількість теплової енергії, необхідна для підігріву 1 куб.м. гарячої води Гкал/м.куб, у т. ч.:</t>
  </si>
  <si>
    <t xml:space="preserve"> 14.1</t>
  </si>
  <si>
    <t xml:space="preserve"> 14.2</t>
  </si>
  <si>
    <t xml:space="preserve"> 14.3</t>
  </si>
  <si>
    <t xml:space="preserve"> 14.4</t>
  </si>
  <si>
    <t>15.</t>
  </si>
  <si>
    <t>16.</t>
  </si>
  <si>
    <t>Фактична кількість днів подачі послуги ГВП за 2013 рік, діб</t>
  </si>
  <si>
    <t>17.</t>
  </si>
  <si>
    <t>Планована кількість днів подачі послуги ГВП протягом опалювального періоду, діб</t>
  </si>
  <si>
    <t>18.</t>
  </si>
  <si>
    <t>Планована кількість днів подачі послуги ГВП протягом міжопалювального періоду, діб</t>
  </si>
  <si>
    <t>19.</t>
  </si>
  <si>
    <t>Планована кількість годин подачі послуги ГВП на добу протягом опалювального періоду, годин</t>
  </si>
  <si>
    <t>20.</t>
  </si>
  <si>
    <t>Планована кількість годин подачі послуги ГВП на добу протягом між опалювального періоду, годин</t>
  </si>
  <si>
    <t>21.</t>
  </si>
  <si>
    <t>Середня температура холодної води протягом опалювального періоду, град. С</t>
  </si>
  <si>
    <t>22.</t>
  </si>
  <si>
    <t>Середня температура холодної води протягом міжопалювального періоду, град. С</t>
  </si>
  <si>
    <t>________</t>
  </si>
  <si>
    <t>___________________________</t>
  </si>
  <si>
    <t>(підпис) М.П.</t>
  </si>
  <si>
    <t>(ПІБ)</t>
  </si>
  <si>
    <t>_______________</t>
  </si>
  <si>
    <t>посада</t>
  </si>
  <si>
    <t>контактний телефон</t>
  </si>
  <si>
    <t>Із засобами обліку гарячої води (факт 2016 року)</t>
  </si>
  <si>
    <t>Розрахунок структури собівартості та тарифів на послугу з централізованого постачання гарячої води для потреб населення, бюджетних установ та інших споживачів</t>
  </si>
  <si>
    <t>без ПДВ</t>
  </si>
  <si>
    <t>Кузнецовське міське комунальне підприємство</t>
  </si>
  <si>
    <t>Назва показника</t>
  </si>
  <si>
    <t>Усьго на послугу з централізованого  постачання гарячої води:</t>
  </si>
  <si>
    <t>У тому числі:</t>
  </si>
  <si>
    <t>для потреб населення</t>
  </si>
  <si>
    <t>для потреб бюджетних установ</t>
  </si>
  <si>
    <t>для потреб інших споживачів</t>
  </si>
  <si>
    <t>усьго на послугу з централізованого  постачання гарячої води:</t>
  </si>
  <si>
    <t>з рушникосушарками</t>
  </si>
  <si>
    <t>без рушникосушарок</t>
  </si>
  <si>
    <t>тис. грн.</t>
  </si>
  <si>
    <t>грн/куб.м.</t>
  </si>
  <si>
    <t>Собівартості власної теплової енергії, врахована у встановлених тарифах на теплову енергію</t>
  </si>
  <si>
    <t>Витрати на придбання води для послуги з гарячого водопостачання</t>
  </si>
  <si>
    <t>Розрахунковий прибуток, усього, у т.ч.:</t>
  </si>
  <si>
    <t xml:space="preserve"> 3.1</t>
  </si>
  <si>
    <t>прибуток у тарифах на теплову енергію</t>
  </si>
  <si>
    <t xml:space="preserve"> 3.2</t>
  </si>
  <si>
    <t>плановий прибуток на послуги з централізованого постачання гарячої води, усього, у т.ч.:</t>
  </si>
  <si>
    <t>чистий прибуток</t>
  </si>
  <si>
    <t>податок на прибуток</t>
  </si>
  <si>
    <t>Усього витрат</t>
  </si>
  <si>
    <t>x</t>
  </si>
  <si>
    <t>Плановані тарифи на послуги</t>
  </si>
  <si>
    <t>х</t>
  </si>
  <si>
    <t>Допоміжна інформація</t>
  </si>
  <si>
    <t>Обсяг теплової енергії для розрахунку п. 1, Гкал</t>
  </si>
  <si>
    <t>Тарифи на теплову енергію  без ПДВ, грн/Гкал, у т. ч.:</t>
  </si>
  <si>
    <t xml:space="preserve"> 2.1</t>
  </si>
  <si>
    <t>повна планова собівартість теплової енергії, грн/Гкал</t>
  </si>
  <si>
    <t xml:space="preserve"> 2.2</t>
  </si>
  <si>
    <t>прибуток у тарифах на теплову енергію, грн/Гкал</t>
  </si>
  <si>
    <t>Обсяг використання споживачами гарчої води, тис. куб. м.</t>
  </si>
  <si>
    <t xml:space="preserve">Кількість абонентів послуг </t>
  </si>
  <si>
    <t>Обсяг холодної води для підігріву, тис.куб. м.</t>
  </si>
  <si>
    <t>Вартість 1 куб. м. холодної води без ПДВ, грн</t>
  </si>
  <si>
    <t>Питомі норми, враховані у планованих тарифах на послугу з централізованого постачання гарячої води, Гкал/куб.м</t>
  </si>
  <si>
    <t>Інформаційно:</t>
  </si>
  <si>
    <t>Питомі норми, враховані у діючих тарифах на послугу з централізованого постачання гарячої води, Гкал/куб.м</t>
  </si>
  <si>
    <t>Діючі тарифи на послугу з централізованого постачання гарячої води, грн/м.куб</t>
  </si>
  <si>
    <t>Діючі тарифи на теплову енергію, враховані у розрахунку послуг з централізованого постачання гарячої води, грн/Гкал</t>
  </si>
  <si>
    <t>Діючий тариф на підігрів гарчої води (за наявності), грн/куб.м.</t>
  </si>
  <si>
    <t xml:space="preserve">Директор підприємства </t>
  </si>
  <si>
    <t>Коробка О.О.</t>
  </si>
  <si>
    <t>усього на послугу з централізованого  постачання гарячої води:</t>
  </si>
  <si>
    <t>Семенюк І.С.</t>
  </si>
  <si>
    <t>Начальник ПЕВ</t>
  </si>
  <si>
    <t>Фактичний обсяг використання споживачами населення гарчої води, системи гарячого водопостачання яких обладнано рушникосушками за 2016 рік, куб.м. на рік</t>
  </si>
  <si>
    <t>Фактичний обсяг використання споживачами населення гарчої води, системи гарячого водопостачання яких не обладнано рушникосушками за 2016 рік, куб.м. на рік</t>
  </si>
  <si>
    <t>Фактичний обсяг використання споживачами  гарячої води споживачами категорії інши за 2016 рік, куб.м. на рік</t>
  </si>
  <si>
    <t>Фактичний обсяг використання споживачами гарячої води споживачами категорії бюджет за 2016 рік, куб.м. на рік</t>
  </si>
  <si>
    <t>Директор підприємства                                                                                                     І.С. Семенюк</t>
  </si>
  <si>
    <t>Виконавець                                                                                                                      Степанюк А.Л.</t>
  </si>
  <si>
    <t>Обсяг теплової енергії на потреби гарячого водопостачання,  що враховано при встановленні тарифів на т. е., Гкал (для перевірки)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</si>
</sst>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left" vertical="center" wrapText="1"/>
    </xf>
    <xf numFmtId="1" fontId="1" fillId="0" borderId="4" xfId="0" applyNumberFormat="1" applyFont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left" vertical="center" wrapText="1"/>
    </xf>
    <xf numFmtId="1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</xf>
    <xf numFmtId="1" fontId="1" fillId="3" borderId="9" xfId="0" applyNumberFormat="1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left" vertical="center" wrapText="1"/>
    </xf>
    <xf numFmtId="1" fontId="1" fillId="3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</xf>
    <xf numFmtId="1" fontId="1" fillId="3" borderId="12" xfId="0" applyNumberFormat="1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</xf>
    <xf numFmtId="1" fontId="1" fillId="3" borderId="1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 wrapText="1"/>
    </xf>
    <xf numFmtId="1" fontId="1" fillId="0" borderId="15" xfId="0" applyNumberFormat="1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left" vertical="center" wrapText="1"/>
    </xf>
    <xf numFmtId="1" fontId="1" fillId="3" borderId="7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7" xfId="0" applyNumberFormat="1" applyFont="1" applyFill="1" applyBorder="1" applyAlignment="1" applyProtection="1">
      <alignment horizontal="center" vertical="center" wrapText="1"/>
    </xf>
    <xf numFmtId="1" fontId="1" fillId="0" borderId="17" xfId="0" applyNumberFormat="1" applyFont="1" applyFill="1" applyBorder="1" applyAlignment="1" applyProtection="1">
      <alignment horizontal="center" vertical="center" wrapText="1"/>
    </xf>
    <xf numFmtId="16" fontId="1" fillId="0" borderId="6" xfId="0" applyNumberFormat="1" applyFont="1" applyBorder="1" applyAlignment="1" applyProtection="1">
      <alignment horizontal="center" vertical="center" wrapText="1"/>
    </xf>
    <xf numFmtId="1" fontId="1" fillId="0" borderId="8" xfId="0" applyNumberFormat="1" applyFont="1" applyBorder="1" applyAlignment="1" applyProtection="1">
      <alignment horizontal="center" vertical="center" wrapText="1"/>
      <protection locked="0"/>
    </xf>
    <xf numFmtId="1" fontId="1" fillId="0" borderId="8" xfId="0" applyNumberFormat="1" applyFont="1" applyBorder="1" applyAlignment="1" applyProtection="1">
      <alignment horizontal="center" vertical="center" wrapText="1"/>
    </xf>
    <xf numFmtId="164" fontId="1" fillId="3" borderId="9" xfId="0" applyNumberFormat="1" applyFont="1" applyFill="1" applyBorder="1" applyAlignment="1" applyProtection="1">
      <alignment horizontal="center" vertical="center" wrapText="1"/>
    </xf>
    <xf numFmtId="1" fontId="1" fillId="2" borderId="9" xfId="0" applyNumberFormat="1" applyFont="1" applyFill="1" applyBorder="1" applyAlignment="1" applyProtection="1">
      <alignment horizontal="center" vertical="center" wrapText="1"/>
    </xf>
    <xf numFmtId="16" fontId="1" fillId="0" borderId="10" xfId="0" applyNumberFormat="1" applyFont="1" applyBorder="1" applyAlignment="1" applyProtection="1">
      <alignment horizontal="center" vertical="center" wrapText="1"/>
    </xf>
    <xf numFmtId="1" fontId="1" fillId="0" borderId="11" xfId="0" applyNumberFormat="1" applyFont="1" applyBorder="1" applyAlignment="1" applyProtection="1">
      <alignment horizontal="center" vertical="center" wrapText="1"/>
      <protection locked="0"/>
    </xf>
    <xf numFmtId="1" fontId="1" fillId="0" borderId="11" xfId="0" applyNumberFormat="1" applyFont="1" applyBorder="1" applyAlignment="1" applyProtection="1">
      <alignment horizontal="center" vertical="center" wrapText="1"/>
    </xf>
    <xf numFmtId="1" fontId="1" fillId="2" borderId="1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Border="1" applyAlignment="1" applyProtection="1">
      <alignment horizontal="center" vertical="center" wrapText="1"/>
    </xf>
    <xf numFmtId="1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Border="1" applyAlignment="1" applyProtection="1">
      <alignment horizontal="center" vertical="center" wrapText="1"/>
    </xf>
    <xf numFmtId="1" fontId="1" fillId="0" borderId="8" xfId="0" applyNumberFormat="1" applyFont="1" applyFill="1" applyBorder="1" applyAlignment="1" applyProtection="1">
      <alignment horizontal="center" vertical="center" wrapText="1"/>
    </xf>
    <xf numFmtId="1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Border="1" applyAlignment="1" applyProtection="1">
      <alignment horizontal="center" vertical="center" wrapText="1"/>
    </xf>
    <xf numFmtId="1" fontId="1" fillId="0" borderId="14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1" fontId="1" fillId="3" borderId="5" xfId="0" applyNumberFormat="1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0" fontId="1" fillId="2" borderId="14" xfId="0" applyFont="1" applyFill="1" applyBorder="1" applyAlignment="1" applyProtection="1">
      <alignment horizontal="left" vertical="center" wrapText="1"/>
    </xf>
    <xf numFmtId="0" fontId="1" fillId="0" borderId="16" xfId="0" applyNumberFormat="1" applyFont="1" applyBorder="1" applyAlignment="1" applyProtection="1">
      <alignment horizontal="center" vertical="center" wrapText="1"/>
    </xf>
    <xf numFmtId="1" fontId="1" fillId="3" borderId="17" xfId="0" applyNumberFormat="1" applyFont="1" applyFill="1" applyBorder="1" applyAlignment="1" applyProtection="1">
      <alignment horizontal="center" vertical="center" wrapText="1"/>
    </xf>
    <xf numFmtId="1" fontId="1" fillId="0" borderId="5" xfId="0" applyNumberFormat="1" applyFont="1" applyFill="1" applyBorder="1" applyAlignment="1" applyProtection="1">
      <alignment horizontal="center" vertical="center" wrapText="1"/>
    </xf>
    <xf numFmtId="1" fontId="1" fillId="0" borderId="9" xfId="0" applyNumberFormat="1" applyFont="1" applyBorder="1" applyAlignment="1" applyProtection="1">
      <alignment horizontal="center" vertical="center" wrapText="1"/>
    </xf>
    <xf numFmtId="1" fontId="1" fillId="0" borderId="12" xfId="0" applyNumberFormat="1" applyFont="1" applyBorder="1" applyAlignment="1" applyProtection="1">
      <alignment horizontal="center" vertical="center" wrapText="1"/>
    </xf>
    <xf numFmtId="164" fontId="1" fillId="0" borderId="4" xfId="0" applyNumberFormat="1" applyFont="1" applyBorder="1" applyAlignment="1" applyProtection="1">
      <alignment horizontal="center" vertical="center" wrapText="1"/>
    </xf>
    <xf numFmtId="164" fontId="1" fillId="0" borderId="5" xfId="0" applyNumberFormat="1" applyFont="1" applyBorder="1" applyAlignment="1" applyProtection="1">
      <alignment horizontal="center" vertical="center" wrapText="1"/>
    </xf>
    <xf numFmtId="164" fontId="1" fillId="0" borderId="8" xfId="0" applyNumberFormat="1" applyFont="1" applyBorder="1" applyAlignment="1" applyProtection="1">
      <alignment horizontal="center" vertical="center" wrapText="1"/>
    </xf>
    <xf numFmtId="164" fontId="1" fillId="0" borderId="9" xfId="0" applyNumberFormat="1" applyFont="1" applyBorder="1" applyAlignment="1" applyProtection="1">
      <alignment horizontal="center" vertical="center" wrapText="1"/>
    </xf>
    <xf numFmtId="164" fontId="1" fillId="0" borderId="11" xfId="0" applyNumberFormat="1" applyFont="1" applyBorder="1" applyAlignment="1" applyProtection="1">
      <alignment horizontal="center" vertical="center" wrapText="1"/>
    </xf>
    <xf numFmtId="164" fontId="1" fillId="0" borderId="12" xfId="0" applyNumberFormat="1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left" vertical="center" wrapText="1"/>
    </xf>
    <xf numFmtId="1" fontId="2" fillId="3" borderId="19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right"/>
    </xf>
    <xf numFmtId="0" fontId="1" fillId="0" borderId="29" xfId="0" applyFont="1" applyBorder="1" applyAlignment="1" applyProtection="1">
      <alignment wrapText="1"/>
    </xf>
    <xf numFmtId="0" fontId="1" fillId="0" borderId="8" xfId="0" applyFont="1" applyBorder="1" applyAlignment="1" applyProtection="1">
      <alignment horizontal="center"/>
    </xf>
    <xf numFmtId="0" fontId="1" fillId="0" borderId="30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31" xfId="0" applyFont="1" applyBorder="1" applyAlignment="1" applyProtection="1">
      <alignment horizontal="right"/>
    </xf>
    <xf numFmtId="0" fontId="1" fillId="0" borderId="32" xfId="0" applyFont="1" applyBorder="1" applyAlignment="1" applyProtection="1">
      <alignment wrapText="1"/>
    </xf>
    <xf numFmtId="0" fontId="1" fillId="0" borderId="31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34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wrapText="1"/>
    </xf>
    <xf numFmtId="0" fontId="1" fillId="2" borderId="4" xfId="0" applyFont="1" applyFill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0" borderId="35" xfId="0" applyFont="1" applyBorder="1" applyAlignment="1" applyProtection="1">
      <alignment horizontal="right"/>
    </xf>
    <xf numFmtId="0" fontId="1" fillId="0" borderId="6" xfId="0" applyFont="1" applyBorder="1" applyAlignment="1" applyProtection="1">
      <alignment wrapText="1"/>
    </xf>
    <xf numFmtId="0" fontId="1" fillId="2" borderId="8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16" fontId="1" fillId="0" borderId="35" xfId="0" applyNumberFormat="1" applyFont="1" applyBorder="1" applyAlignment="1" applyProtection="1">
      <alignment horizontal="right"/>
    </xf>
    <xf numFmtId="4" fontId="1" fillId="2" borderId="8" xfId="0" applyNumberFormat="1" applyFont="1" applyFill="1" applyBorder="1" applyAlignment="1" applyProtection="1">
      <alignment horizontal="center"/>
    </xf>
    <xf numFmtId="4" fontId="1" fillId="2" borderId="9" xfId="0" applyNumberFormat="1" applyFont="1" applyFill="1" applyBorder="1" applyAlignment="1" applyProtection="1">
      <alignment horizontal="center"/>
    </xf>
    <xf numFmtId="0" fontId="1" fillId="0" borderId="36" xfId="0" applyFont="1" applyBorder="1" applyAlignment="1" applyProtection="1">
      <alignment horizontal="right"/>
    </xf>
    <xf numFmtId="0" fontId="1" fillId="0" borderId="13" xfId="0" applyFont="1" applyBorder="1" applyAlignment="1" applyProtection="1">
      <alignment horizontal="left" wrapText="1"/>
    </xf>
    <xf numFmtId="0" fontId="1" fillId="0" borderId="15" xfId="0" applyFont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164" fontId="1" fillId="2" borderId="14" xfId="0" applyNumberFormat="1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164" fontId="1" fillId="2" borderId="15" xfId="0" applyNumberFormat="1" applyFont="1" applyFill="1" applyBorder="1" applyAlignment="1" applyProtection="1">
      <alignment horizontal="center"/>
    </xf>
    <xf numFmtId="0" fontId="1" fillId="0" borderId="37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 wrapText="1"/>
    </xf>
    <xf numFmtId="0" fontId="1" fillId="0" borderId="2" xfId="0" applyFont="1" applyBorder="1" applyAlignment="1" applyProtection="1">
      <alignment horizontal="center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center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2" fontId="1" fillId="3" borderId="15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wrapText="1"/>
    </xf>
    <xf numFmtId="0" fontId="1" fillId="0" borderId="0" xfId="0" applyFont="1" applyProtection="1"/>
    <xf numFmtId="165" fontId="1" fillId="0" borderId="9" xfId="0" applyNumberFormat="1" applyFont="1" applyBorder="1" applyAlignment="1" applyProtection="1">
      <alignment horizontal="center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3" fontId="1" fillId="0" borderId="2" xfId="0" applyNumberFormat="1" applyFont="1" applyBorder="1" applyAlignment="1" applyProtection="1">
      <alignment horizontal="center"/>
    </xf>
    <xf numFmtId="4" fontId="1" fillId="0" borderId="6" xfId="0" applyNumberFormat="1" applyFont="1" applyBorder="1" applyAlignment="1" applyProtection="1">
      <alignment horizontal="center"/>
    </xf>
    <xf numFmtId="4" fontId="1" fillId="3" borderId="6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</xf>
    <xf numFmtId="1" fontId="1" fillId="2" borderId="6" xfId="0" applyNumberFormat="1" applyFont="1" applyFill="1" applyBorder="1" applyAlignment="1" applyProtection="1">
      <alignment horizontal="center"/>
    </xf>
    <xf numFmtId="2" fontId="1" fillId="2" borderId="6" xfId="0" applyNumberFormat="1" applyFont="1" applyFill="1" applyBorder="1" applyAlignment="1" applyProtection="1">
      <alignment horizontal="center"/>
    </xf>
    <xf numFmtId="2" fontId="1" fillId="0" borderId="9" xfId="0" applyNumberFormat="1" applyFont="1" applyBorder="1" applyAlignment="1" applyProtection="1">
      <alignment horizontal="center"/>
    </xf>
    <xf numFmtId="4" fontId="1" fillId="0" borderId="9" xfId="0" applyNumberFormat="1" applyFont="1" applyBorder="1" applyAlignment="1" applyProtection="1">
      <alignment horizontal="center"/>
    </xf>
    <xf numFmtId="165" fontId="1" fillId="0" borderId="28" xfId="0" applyNumberFormat="1" applyFont="1" applyBorder="1" applyAlignment="1" applyProtection="1">
      <alignment horizontal="center"/>
    </xf>
    <xf numFmtId="164" fontId="1" fillId="0" borderId="6" xfId="0" applyNumberFormat="1" applyFont="1" applyBorder="1" applyAlignment="1" applyProtection="1">
      <alignment horizontal="center"/>
    </xf>
    <xf numFmtId="2" fontId="1" fillId="0" borderId="8" xfId="0" applyNumberFormat="1" applyFont="1" applyBorder="1" applyAlignment="1" applyProtection="1">
      <alignment horizontal="center"/>
    </xf>
    <xf numFmtId="164" fontId="1" fillId="2" borderId="8" xfId="0" applyNumberFormat="1" applyFont="1" applyFill="1" applyBorder="1" applyAlignment="1" applyProtection="1">
      <alignment horizontal="center"/>
    </xf>
    <xf numFmtId="2" fontId="1" fillId="2" borderId="8" xfId="0" applyNumberFormat="1" applyFont="1" applyFill="1" applyBorder="1" applyAlignment="1" applyProtection="1">
      <alignment horizontal="center"/>
    </xf>
    <xf numFmtId="2" fontId="1" fillId="0" borderId="30" xfId="0" applyNumberFormat="1" applyFont="1" applyBorder="1" applyAlignment="1" applyProtection="1">
      <alignment horizontal="center"/>
    </xf>
    <xf numFmtId="164" fontId="1" fillId="0" borderId="8" xfId="0" applyNumberFormat="1" applyFont="1" applyBorder="1" applyAlignment="1" applyProtection="1">
      <alignment horizontal="center"/>
    </xf>
    <xf numFmtId="4" fontId="1" fillId="0" borderId="28" xfId="0" applyNumberFormat="1" applyFont="1" applyBorder="1" applyAlignment="1" applyProtection="1">
      <alignment horizontal="center"/>
    </xf>
    <xf numFmtId="4" fontId="1" fillId="0" borderId="8" xfId="0" applyNumberFormat="1" applyFont="1" applyBorder="1" applyAlignment="1" applyProtection="1">
      <alignment horizontal="center"/>
    </xf>
    <xf numFmtId="4" fontId="1" fillId="0" borderId="30" xfId="0" applyNumberFormat="1" applyFont="1" applyBorder="1" applyAlignment="1" applyProtection="1">
      <alignment horizontal="center"/>
    </xf>
    <xf numFmtId="4" fontId="1" fillId="2" borderId="6" xfId="0" applyNumberFormat="1" applyFont="1" applyFill="1" applyBorder="1" applyAlignment="1" applyProtection="1">
      <alignment horizontal="center"/>
    </xf>
    <xf numFmtId="4" fontId="1" fillId="3" borderId="28" xfId="0" applyNumberFormat="1" applyFont="1" applyFill="1" applyBorder="1" applyAlignment="1" applyProtection="1">
      <alignment horizontal="center"/>
      <protection locked="0"/>
    </xf>
    <xf numFmtId="4" fontId="1" fillId="0" borderId="28" xfId="0" applyNumberFormat="1" applyFont="1" applyFill="1" applyBorder="1" applyAlignment="1" applyProtection="1">
      <alignment horizontal="center"/>
    </xf>
    <xf numFmtId="2" fontId="1" fillId="0" borderId="6" xfId="0" applyNumberFormat="1" applyFont="1" applyBorder="1" applyAlignment="1" applyProtection="1">
      <alignment horizontal="center"/>
    </xf>
    <xf numFmtId="2" fontId="1" fillId="0" borderId="14" xfId="0" applyNumberFormat="1" applyFont="1" applyBorder="1" applyAlignment="1" applyProtection="1">
      <alignment horizontal="center"/>
    </xf>
    <xf numFmtId="2" fontId="1" fillId="0" borderId="33" xfId="0" applyNumberFormat="1" applyFont="1" applyBorder="1" applyAlignment="1" applyProtection="1">
      <alignment horizontal="center"/>
    </xf>
    <xf numFmtId="2" fontId="1" fillId="0" borderId="15" xfId="0" applyNumberFormat="1" applyFont="1" applyBorder="1" applyAlignment="1" applyProtection="1">
      <alignment horizontal="center"/>
    </xf>
    <xf numFmtId="3" fontId="1" fillId="0" borderId="5" xfId="0" applyNumberFormat="1" applyFont="1" applyBorder="1" applyAlignment="1" applyProtection="1">
      <alignment horizontal="center"/>
    </xf>
    <xf numFmtId="1" fontId="1" fillId="2" borderId="2" xfId="0" applyNumberFormat="1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1" fontId="1" fillId="2" borderId="8" xfId="0" applyNumberFormat="1" applyFont="1" applyFill="1" applyBorder="1" applyAlignment="1" applyProtection="1">
      <alignment horizontal="center"/>
    </xf>
    <xf numFmtId="165" fontId="1" fillId="2" borderId="6" xfId="0" applyNumberFormat="1" applyFont="1" applyFill="1" applyBorder="1" applyAlignment="1" applyProtection="1">
      <alignment horizontal="center"/>
    </xf>
    <xf numFmtId="164" fontId="0" fillId="0" borderId="0" xfId="0" applyNumberFormat="1"/>
    <xf numFmtId="0" fontId="2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1" fillId="3" borderId="14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1" fontId="2" fillId="3" borderId="21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22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23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4" borderId="41" xfId="0" applyFont="1" applyFill="1" applyBorder="1" applyAlignment="1" applyProtection="1">
      <alignment horizontal="center" vertical="center" wrapText="1"/>
    </xf>
    <xf numFmtId="0" fontId="2" fillId="4" borderId="39" xfId="0" applyFont="1" applyFill="1" applyBorder="1" applyAlignment="1" applyProtection="1">
      <alignment horizontal="center" vertical="center" wrapText="1"/>
    </xf>
    <xf numFmtId="0" fontId="2" fillId="4" borderId="42" xfId="0" applyFont="1" applyFill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2" fillId="4" borderId="38" xfId="0" applyFont="1" applyFill="1" applyBorder="1" applyAlignment="1" applyProtection="1">
      <alignment horizontal="center" vertical="center" wrapText="1"/>
    </xf>
    <xf numFmtId="0" fontId="2" fillId="4" borderId="40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perator\Downloads\&#1050;&#1086;&#1087;&#1080;&#1103;%20&#1069;&#1090;&#1072;&#1083;&#1086;&#1085;_&#1076;&#1083;&#1103;_&#1087;&#1086;&#1090;&#1088;&#1077;&#1073;.v.1(16.06.201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ВП"/>
      <sheetName val="собіварт"/>
    </sheetNames>
    <sheetDataSet>
      <sheetData sheetId="0">
        <row r="7">
          <cell r="C7">
            <v>12793</v>
          </cell>
        </row>
        <row r="8">
          <cell r="C8">
            <v>0</v>
          </cell>
        </row>
        <row r="32">
          <cell r="C32">
            <v>674437</v>
          </cell>
        </row>
        <row r="33">
          <cell r="C33">
            <v>0</v>
          </cell>
        </row>
        <row r="34">
          <cell r="C34">
            <v>40716</v>
          </cell>
        </row>
        <row r="35">
          <cell r="C35">
            <v>25880</v>
          </cell>
        </row>
        <row r="38">
          <cell r="C38">
            <v>0</v>
          </cell>
        </row>
        <row r="43">
          <cell r="C43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view="pageBreakPreview" topLeftCell="A33" zoomScale="60" zoomScaleNormal="100" workbookViewId="0">
      <selection sqref="A1:E63"/>
    </sheetView>
  </sheetViews>
  <sheetFormatPr defaultRowHeight="15" x14ac:dyDescent="0.25"/>
  <cols>
    <col min="1" max="1" width="11.28515625" customWidth="1"/>
    <col min="2" max="2" width="64.28515625" customWidth="1"/>
    <col min="3" max="3" width="33.42578125" customWidth="1"/>
    <col min="4" max="5" width="25.7109375" hidden="1" customWidth="1"/>
  </cols>
  <sheetData>
    <row r="1" spans="1:5" ht="36" customHeight="1" x14ac:dyDescent="0.25">
      <c r="A1" s="159" t="s">
        <v>0</v>
      </c>
      <c r="B1" s="159"/>
      <c r="C1" s="159"/>
      <c r="D1" s="159"/>
      <c r="E1" s="159"/>
    </row>
    <row r="2" spans="1:5" ht="15.75" thickBot="1" x14ac:dyDescent="0.3">
      <c r="A2" s="160" t="s">
        <v>1</v>
      </c>
      <c r="B2" s="160"/>
      <c r="C2" s="160"/>
      <c r="D2" s="1"/>
      <c r="E2" s="1"/>
    </row>
    <row r="3" spans="1:5" ht="24.95" customHeight="1" x14ac:dyDescent="0.25">
      <c r="A3" s="164" t="s">
        <v>2</v>
      </c>
      <c r="B3" s="166" t="s">
        <v>3</v>
      </c>
      <c r="C3" s="168" t="s">
        <v>4</v>
      </c>
      <c r="D3" s="168" t="s">
        <v>5</v>
      </c>
      <c r="E3" s="170"/>
    </row>
    <row r="4" spans="1:5" ht="8.25" customHeight="1" x14ac:dyDescent="0.25">
      <c r="A4" s="165"/>
      <c r="B4" s="167"/>
      <c r="C4" s="169"/>
      <c r="D4" s="2" t="s">
        <v>108</v>
      </c>
      <c r="E4" s="3" t="s">
        <v>6</v>
      </c>
    </row>
    <row r="5" spans="1:5" ht="21.75" customHeight="1" thickBot="1" x14ac:dyDescent="0.3">
      <c r="A5" s="4">
        <v>1</v>
      </c>
      <c r="B5" s="5">
        <v>2</v>
      </c>
      <c r="C5" s="6">
        <v>3</v>
      </c>
      <c r="D5" s="6">
        <v>4</v>
      </c>
      <c r="E5" s="7">
        <v>5</v>
      </c>
    </row>
    <row r="6" spans="1:5" ht="35.25" customHeight="1" x14ac:dyDescent="0.25">
      <c r="A6" s="8" t="s">
        <v>7</v>
      </c>
      <c r="B6" s="9" t="s">
        <v>8</v>
      </c>
      <c r="C6" s="10">
        <f>C7+C8+C9+C10</f>
        <v>13105</v>
      </c>
      <c r="D6" s="11">
        <f>D7+D8+D9+D10</f>
        <v>0</v>
      </c>
      <c r="E6" s="12">
        <f>E7+E8+E9+E10</f>
        <v>0</v>
      </c>
    </row>
    <row r="7" spans="1:5" ht="33.75" customHeight="1" x14ac:dyDescent="0.25">
      <c r="A7" s="13" t="s">
        <v>9</v>
      </c>
      <c r="B7" s="14" t="s">
        <v>10</v>
      </c>
      <c r="C7" s="15">
        <v>12793</v>
      </c>
      <c r="D7" s="16"/>
      <c r="E7" s="17"/>
    </row>
    <row r="8" spans="1:5" ht="34.5" customHeight="1" x14ac:dyDescent="0.25">
      <c r="A8" s="13" t="s">
        <v>11</v>
      </c>
      <c r="B8" s="14" t="s">
        <v>12</v>
      </c>
      <c r="C8" s="15">
        <v>0</v>
      </c>
      <c r="D8" s="16"/>
      <c r="E8" s="17"/>
    </row>
    <row r="9" spans="1:5" ht="24.95" customHeight="1" x14ac:dyDescent="0.25">
      <c r="A9" s="13" t="s">
        <v>13</v>
      </c>
      <c r="B9" s="18" t="s">
        <v>14</v>
      </c>
      <c r="C9" s="19">
        <v>35</v>
      </c>
      <c r="D9" s="20"/>
      <c r="E9" s="21"/>
    </row>
    <row r="10" spans="1:5" ht="24.95" customHeight="1" x14ac:dyDescent="0.25">
      <c r="A10" s="13" t="s">
        <v>15</v>
      </c>
      <c r="B10" s="18" t="s">
        <v>16</v>
      </c>
      <c r="C10" s="19">
        <v>277</v>
      </c>
      <c r="D10" s="20"/>
      <c r="E10" s="21"/>
    </row>
    <row r="11" spans="1:5" ht="18" customHeight="1" thickBot="1" x14ac:dyDescent="0.3">
      <c r="A11" s="22" t="s">
        <v>17</v>
      </c>
      <c r="B11" s="23" t="s">
        <v>18</v>
      </c>
      <c r="C11" s="24">
        <v>39765</v>
      </c>
      <c r="D11" s="25"/>
      <c r="E11" s="26">
        <f>E14+E17+E20+E23+E26</f>
        <v>0</v>
      </c>
    </row>
    <row r="12" spans="1:5" ht="15" customHeight="1" x14ac:dyDescent="0.25">
      <c r="A12" s="27" t="s">
        <v>19</v>
      </c>
      <c r="B12" s="28" t="s">
        <v>20</v>
      </c>
      <c r="C12" s="29">
        <v>741033</v>
      </c>
      <c r="D12" s="30"/>
      <c r="E12" s="31">
        <f>ROUND(E15+E18+E21+E24+E27,0)</f>
        <v>0</v>
      </c>
    </row>
    <row r="13" spans="1:5" ht="15" customHeight="1" x14ac:dyDescent="0.25">
      <c r="A13" s="32" t="s">
        <v>21</v>
      </c>
      <c r="B13" s="14" t="s">
        <v>22</v>
      </c>
      <c r="C13" s="33" t="s">
        <v>23</v>
      </c>
      <c r="D13" s="34" t="s">
        <v>23</v>
      </c>
      <c r="E13" s="35"/>
    </row>
    <row r="14" spans="1:5" ht="15" customHeight="1" x14ac:dyDescent="0.25">
      <c r="A14" s="32" t="s">
        <v>24</v>
      </c>
      <c r="B14" s="14" t="s">
        <v>25</v>
      </c>
      <c r="C14" s="33" t="s">
        <v>23</v>
      </c>
      <c r="D14" s="34" t="s">
        <v>23</v>
      </c>
      <c r="E14" s="17"/>
    </row>
    <row r="15" spans="1:5" ht="15" customHeight="1" x14ac:dyDescent="0.25">
      <c r="A15" s="32" t="s">
        <v>26</v>
      </c>
      <c r="B15" s="14" t="s">
        <v>27</v>
      </c>
      <c r="C15" s="33" t="s">
        <v>23</v>
      </c>
      <c r="D15" s="34" t="s">
        <v>23</v>
      </c>
      <c r="E15" s="36">
        <f>E13*E14*($C$53+0.8*$C$54)/29.17</f>
        <v>0</v>
      </c>
    </row>
    <row r="16" spans="1:5" ht="15" customHeight="1" x14ac:dyDescent="0.25">
      <c r="A16" s="32" t="s">
        <v>28</v>
      </c>
      <c r="B16" s="14" t="s">
        <v>29</v>
      </c>
      <c r="C16" s="33" t="s">
        <v>23</v>
      </c>
      <c r="D16" s="34" t="s">
        <v>23</v>
      </c>
      <c r="E16" s="17"/>
    </row>
    <row r="17" spans="1:5" ht="15" customHeight="1" x14ac:dyDescent="0.25">
      <c r="A17" s="32" t="s">
        <v>30</v>
      </c>
      <c r="B17" s="14" t="s">
        <v>31</v>
      </c>
      <c r="C17" s="33" t="s">
        <v>23</v>
      </c>
      <c r="D17" s="34" t="s">
        <v>23</v>
      </c>
      <c r="E17" s="17"/>
    </row>
    <row r="18" spans="1:5" ht="15" customHeight="1" x14ac:dyDescent="0.25">
      <c r="A18" s="32" t="s">
        <v>32</v>
      </c>
      <c r="B18" s="14" t="s">
        <v>33</v>
      </c>
      <c r="C18" s="33" t="s">
        <v>23</v>
      </c>
      <c r="D18" s="34" t="s">
        <v>23</v>
      </c>
      <c r="E18" s="36">
        <f>E16*E17*($C$53+$C$54*0.8)/29.17</f>
        <v>0</v>
      </c>
    </row>
    <row r="19" spans="1:5" ht="15" customHeight="1" x14ac:dyDescent="0.25">
      <c r="A19" s="32" t="s">
        <v>34</v>
      </c>
      <c r="B19" s="14" t="s">
        <v>35</v>
      </c>
      <c r="C19" s="33" t="s">
        <v>23</v>
      </c>
      <c r="D19" s="34" t="s">
        <v>23</v>
      </c>
      <c r="E19" s="17"/>
    </row>
    <row r="20" spans="1:5" ht="15" customHeight="1" x14ac:dyDescent="0.25">
      <c r="A20" s="32" t="s">
        <v>36</v>
      </c>
      <c r="B20" s="14" t="s">
        <v>37</v>
      </c>
      <c r="C20" s="33" t="s">
        <v>23</v>
      </c>
      <c r="D20" s="34" t="s">
        <v>23</v>
      </c>
      <c r="E20" s="17"/>
    </row>
    <row r="21" spans="1:5" ht="15" customHeight="1" x14ac:dyDescent="0.25">
      <c r="A21" s="32" t="s">
        <v>38</v>
      </c>
      <c r="B21" s="14" t="s">
        <v>39</v>
      </c>
      <c r="C21" s="33" t="s">
        <v>23</v>
      </c>
      <c r="D21" s="34" t="s">
        <v>23</v>
      </c>
      <c r="E21" s="36">
        <f>E19*E20*($C$53+$C$54*0.8)/29.17</f>
        <v>0</v>
      </c>
    </row>
    <row r="22" spans="1:5" ht="15" customHeight="1" x14ac:dyDescent="0.25">
      <c r="A22" s="32" t="s">
        <v>40</v>
      </c>
      <c r="B22" s="14" t="s">
        <v>41</v>
      </c>
      <c r="C22" s="33" t="s">
        <v>23</v>
      </c>
      <c r="D22" s="34" t="s">
        <v>23</v>
      </c>
      <c r="E22" s="17"/>
    </row>
    <row r="23" spans="1:5" ht="15" customHeight="1" x14ac:dyDescent="0.25">
      <c r="A23" s="32" t="s">
        <v>42</v>
      </c>
      <c r="B23" s="14" t="s">
        <v>43</v>
      </c>
      <c r="C23" s="33" t="s">
        <v>23</v>
      </c>
      <c r="D23" s="34" t="s">
        <v>23</v>
      </c>
      <c r="E23" s="17"/>
    </row>
    <row r="24" spans="1:5" ht="15" customHeight="1" x14ac:dyDescent="0.25">
      <c r="A24" s="32" t="s">
        <v>44</v>
      </c>
      <c r="B24" s="14" t="s">
        <v>45</v>
      </c>
      <c r="C24" s="33" t="s">
        <v>23</v>
      </c>
      <c r="D24" s="34" t="s">
        <v>23</v>
      </c>
      <c r="E24" s="36">
        <f>E22*E23*($C$53+$C$54*0.8)/29.17</f>
        <v>0</v>
      </c>
    </row>
    <row r="25" spans="1:5" ht="15" customHeight="1" x14ac:dyDescent="0.25">
      <c r="A25" s="32" t="s">
        <v>46</v>
      </c>
      <c r="B25" s="14" t="s">
        <v>47</v>
      </c>
      <c r="C25" s="33" t="s">
        <v>23</v>
      </c>
      <c r="D25" s="34" t="s">
        <v>23</v>
      </c>
      <c r="E25" s="17"/>
    </row>
    <row r="26" spans="1:5" ht="15" customHeight="1" x14ac:dyDescent="0.25">
      <c r="A26" s="32" t="s">
        <v>48</v>
      </c>
      <c r="B26" s="14" t="s">
        <v>49</v>
      </c>
      <c r="C26" s="33" t="s">
        <v>23</v>
      </c>
      <c r="D26" s="34" t="s">
        <v>23</v>
      </c>
      <c r="E26" s="17"/>
    </row>
    <row r="27" spans="1:5" ht="15" customHeight="1" thickBot="1" x14ac:dyDescent="0.3">
      <c r="A27" s="37" t="s">
        <v>50</v>
      </c>
      <c r="B27" s="18" t="s">
        <v>51</v>
      </c>
      <c r="C27" s="38" t="s">
        <v>23</v>
      </c>
      <c r="D27" s="39" t="s">
        <v>23</v>
      </c>
      <c r="E27" s="40">
        <f>E25*E26*($C$53+$C$54*0.8)/29.17</f>
        <v>0</v>
      </c>
    </row>
    <row r="28" spans="1:5" ht="46.5" customHeight="1" x14ac:dyDescent="0.25">
      <c r="A28" s="41" t="s">
        <v>52</v>
      </c>
      <c r="B28" s="9" t="s">
        <v>158</v>
      </c>
      <c r="C28" s="42">
        <v>674437</v>
      </c>
      <c r="D28" s="43"/>
      <c r="E28" s="12" t="s">
        <v>23</v>
      </c>
    </row>
    <row r="29" spans="1:5" ht="51" customHeight="1" x14ac:dyDescent="0.25">
      <c r="A29" s="44" t="s">
        <v>53</v>
      </c>
      <c r="B29" s="14" t="s">
        <v>159</v>
      </c>
      <c r="C29" s="34">
        <f>C12-C28-C30-C31</f>
        <v>0</v>
      </c>
      <c r="D29" s="45">
        <f>D12-D28</f>
        <v>0</v>
      </c>
      <c r="E29" s="46" t="s">
        <v>23</v>
      </c>
    </row>
    <row r="30" spans="1:5" ht="36" customHeight="1" x14ac:dyDescent="0.25">
      <c r="A30" s="44" t="s">
        <v>54</v>
      </c>
      <c r="B30" s="14" t="s">
        <v>161</v>
      </c>
      <c r="C30" s="15">
        <v>40716</v>
      </c>
      <c r="D30" s="45"/>
      <c r="E30" s="46" t="s">
        <v>23</v>
      </c>
    </row>
    <row r="31" spans="1:5" ht="39" customHeight="1" thickBot="1" x14ac:dyDescent="0.3">
      <c r="A31" s="47" t="s">
        <v>55</v>
      </c>
      <c r="B31" s="23" t="s">
        <v>160</v>
      </c>
      <c r="C31" s="24">
        <v>25880</v>
      </c>
      <c r="D31" s="48"/>
      <c r="E31" s="26" t="s">
        <v>23</v>
      </c>
    </row>
    <row r="32" spans="1:5" ht="48" customHeight="1" x14ac:dyDescent="0.25">
      <c r="A32" s="41" t="s">
        <v>56</v>
      </c>
      <c r="B32" s="49" t="s">
        <v>57</v>
      </c>
      <c r="C32" s="11">
        <f>IF(C28=0,0,C28*($C$53+$C$54)/$C$52)</f>
        <v>674437</v>
      </c>
      <c r="D32" s="11">
        <f>IF(D28=0,0,D28*($C$53+$C$54)/$C$52)</f>
        <v>0</v>
      </c>
      <c r="E32" s="50"/>
    </row>
    <row r="33" spans="1:5" ht="52.5" customHeight="1" x14ac:dyDescent="0.25">
      <c r="A33" s="44" t="s">
        <v>58</v>
      </c>
      <c r="B33" s="51" t="s">
        <v>59</v>
      </c>
      <c r="C33" s="16">
        <f>IF(C29=0,0,C29*($C$53+$C$54)/$C$52)</f>
        <v>0</v>
      </c>
      <c r="D33" s="16">
        <f>IF(D29=0,0,D29*($C$53+$C$54)/$C$52)</f>
        <v>0</v>
      </c>
      <c r="E33" s="46">
        <f>E12-E32</f>
        <v>0</v>
      </c>
    </row>
    <row r="34" spans="1:5" ht="36" customHeight="1" x14ac:dyDescent="0.25">
      <c r="A34" s="44" t="s">
        <v>60</v>
      </c>
      <c r="B34" s="51" t="s">
        <v>61</v>
      </c>
      <c r="C34" s="16">
        <f>IF(C30=0,0,C30*($C$53+$C$54)/$C$52)</f>
        <v>40716</v>
      </c>
      <c r="D34" s="16"/>
      <c r="E34" s="46"/>
    </row>
    <row r="35" spans="1:5" ht="37.5" customHeight="1" thickBot="1" x14ac:dyDescent="0.3">
      <c r="A35" s="47" t="s">
        <v>62</v>
      </c>
      <c r="B35" s="52" t="s">
        <v>63</v>
      </c>
      <c r="C35" s="25">
        <f>IF(C31=0,0,C31*($C$53+$C$54)/$C$52)</f>
        <v>25880</v>
      </c>
      <c r="D35" s="25"/>
      <c r="E35" s="26"/>
    </row>
    <row r="36" spans="1:5" ht="22.5" customHeight="1" x14ac:dyDescent="0.25">
      <c r="A36" s="53" t="s">
        <v>64</v>
      </c>
      <c r="B36" s="28" t="s">
        <v>65</v>
      </c>
      <c r="C36" s="29">
        <v>1055583</v>
      </c>
      <c r="D36" s="30"/>
      <c r="E36" s="54"/>
    </row>
    <row r="37" spans="1:5" ht="36" customHeight="1" x14ac:dyDescent="0.25">
      <c r="A37" s="32" t="s">
        <v>66</v>
      </c>
      <c r="B37" s="14" t="s">
        <v>67</v>
      </c>
      <c r="C37" s="34">
        <f>IF(C32+C33+C34+C35=0,0,C32*C36/(C32+C33+C34+C35))</f>
        <v>960718.66134301713</v>
      </c>
      <c r="D37" s="45">
        <f>IF(D32+D33=0,0,D32*D36/(D32+D33))</f>
        <v>0</v>
      </c>
      <c r="E37" s="46">
        <f>IF(E12=0,0,E32*E36/E12)</f>
        <v>0</v>
      </c>
    </row>
    <row r="38" spans="1:5" ht="31.5" customHeight="1" x14ac:dyDescent="0.25">
      <c r="A38" s="32" t="s">
        <v>68</v>
      </c>
      <c r="B38" s="14" t="s">
        <v>69</v>
      </c>
      <c r="C38" s="34">
        <f>IF(C32+C33+C34+C35=0,0,C33*C36/(C32+C33+C34+C35))</f>
        <v>0</v>
      </c>
      <c r="D38" s="45">
        <f>IF(D32+D33=0,0,D33*D36/(D32+D33))</f>
        <v>0</v>
      </c>
      <c r="E38" s="46">
        <f>IF(E12=0,0,E33*E36/E12)</f>
        <v>0</v>
      </c>
    </row>
    <row r="39" spans="1:5" ht="24.95" customHeight="1" x14ac:dyDescent="0.25">
      <c r="A39" s="32" t="s">
        <v>70</v>
      </c>
      <c r="B39" s="14" t="s">
        <v>71</v>
      </c>
      <c r="C39" s="34">
        <f>IF(C32+C33+C34+C35=0,0,C34*C36/(C32+C33+C34+C35))</f>
        <v>57998.925051920764</v>
      </c>
      <c r="D39" s="45">
        <f>IF(D33+D34=0,0,D34*D37/(D33+D34))</f>
        <v>0</v>
      </c>
      <c r="E39" s="46"/>
    </row>
    <row r="40" spans="1:5" ht="24.95" customHeight="1" thickBot="1" x14ac:dyDescent="0.3">
      <c r="A40" s="32" t="s">
        <v>72</v>
      </c>
      <c r="B40" s="23" t="s">
        <v>73</v>
      </c>
      <c r="C40" s="34">
        <f>IF(C32+C33+C34+C35=0,0,C35*C36/(C32+C33+C34+C35))</f>
        <v>36865.413605062124</v>
      </c>
      <c r="D40" s="45">
        <f>IF(D34+D35=0,0,D35*D38/(D34+D35))</f>
        <v>0</v>
      </c>
      <c r="E40" s="26"/>
    </row>
    <row r="41" spans="1:5" ht="30.75" customHeight="1" x14ac:dyDescent="0.25">
      <c r="A41" s="41" t="s">
        <v>74</v>
      </c>
      <c r="B41" s="9" t="s">
        <v>75</v>
      </c>
      <c r="C41" s="10">
        <f>C42+C43+C44+C45</f>
        <v>53153.894938801219</v>
      </c>
      <c r="D41" s="10">
        <f>D42+D43</f>
        <v>0</v>
      </c>
      <c r="E41" s="55">
        <f>E42+E43</f>
        <v>0</v>
      </c>
    </row>
    <row r="42" spans="1:5" ht="33" customHeight="1" x14ac:dyDescent="0.25">
      <c r="A42" s="44" t="s">
        <v>76</v>
      </c>
      <c r="B42" s="14" t="s">
        <v>67</v>
      </c>
      <c r="C42" s="34">
        <f>C32*0.07172945731</f>
        <v>48376.999999784464</v>
      </c>
      <c r="D42" s="34">
        <f>(IF($C$53+$C$54=0,0,D37*1.2*($C$53*(55-5)+$C$54*(55-15))/($C$53+$C$54)/1000))*0.986</f>
        <v>0</v>
      </c>
      <c r="E42" s="56">
        <f>(IF($C$53+$C$54=0,0,E37*1.2*($C$53*(55-5)+$C$54*0.8*(55-15))/($C$53+$C$54*0.8)/1000))*0.986</f>
        <v>0</v>
      </c>
    </row>
    <row r="43" spans="1:5" ht="34.5" customHeight="1" x14ac:dyDescent="0.25">
      <c r="A43" s="44" t="s">
        <v>77</v>
      </c>
      <c r="B43" s="14" t="s">
        <v>69</v>
      </c>
      <c r="C43" s="34">
        <f>(IF($C$53+$C$54=0,0,C38*1.1*($C$53*(55-5)+$C$54*(55-15))/($C$53+$C$54)/1000))*0.986</f>
        <v>0</v>
      </c>
      <c r="D43" s="34">
        <f>(IF($C$53+$C$54=0,0,D38*1.1*($C$53*(55-5)+$C$54*(55-15))/($C$53+$C$54)/1000))*0.986</f>
        <v>0</v>
      </c>
      <c r="E43" s="56">
        <f>(IF($C$53+$C$54=0,0,E38*1.1*($C$53*(55-5)+$C$54*0.8*(55-15))/($C$53+$C$54*0.8)/1000))*0.986</f>
        <v>0</v>
      </c>
    </row>
    <row r="44" spans="1:5" ht="24.95" customHeight="1" x14ac:dyDescent="0.25">
      <c r="A44" s="44" t="s">
        <v>78</v>
      </c>
      <c r="B44" s="14" t="s">
        <v>71</v>
      </c>
      <c r="C44" s="34">
        <f>C34*0.07172945731</f>
        <v>2920.5365838339599</v>
      </c>
      <c r="D44" s="34">
        <f>(IF($C$53+$C$54=0,0,D41*1.1*($C$53*(55-5)+$C$54*(55-15))/($C$53+$C$54)/1000))*0.986</f>
        <v>0</v>
      </c>
      <c r="E44" s="56">
        <f>(IF($C$53+$C$54=0,0,E41*1.1*($C$53*(55-5)+$C$54*0.8*(55-15))/($C$53+$C$54*0.8)/1000))*0.986</f>
        <v>0</v>
      </c>
    </row>
    <row r="45" spans="1:5" ht="24.95" customHeight="1" thickBot="1" x14ac:dyDescent="0.3">
      <c r="A45" s="44" t="s">
        <v>79</v>
      </c>
      <c r="B45" s="18" t="s">
        <v>73</v>
      </c>
      <c r="C45" s="34">
        <f>C35*0.07172945731</f>
        <v>1856.3583551827999</v>
      </c>
      <c r="D45" s="39">
        <f>(IF($C$53+$C$54=0,0,D42*1.1*($C$53*(55-5)+$C$54*(55-15))/($C$53+$C$54)/1000))*0.986</f>
        <v>0</v>
      </c>
      <c r="E45" s="57">
        <f>(IF($C$53+$C$54=0,0,E42*1.1*($C$53*(55-5)+$C$54*0.8*(55-15))/($C$53+$C$54*0.8)/1000))*0.986</f>
        <v>0</v>
      </c>
    </row>
    <row r="46" spans="1:5" ht="34.5" customHeight="1" x14ac:dyDescent="0.25">
      <c r="A46" s="8" t="s">
        <v>80</v>
      </c>
      <c r="B46" s="9" t="s">
        <v>81</v>
      </c>
      <c r="C46" s="58">
        <f>IF(C32+C33+C34+C35=0,0,C41/(C32+C33+C34+C35))</f>
        <v>7.172945730999998E-2</v>
      </c>
      <c r="D46" s="58">
        <f>IF(D32+D33=0,0,D41/(D32+D33))</f>
        <v>0</v>
      </c>
      <c r="E46" s="59">
        <f>(IF(E12=0,0,E41/E12))</f>
        <v>0</v>
      </c>
    </row>
    <row r="47" spans="1:5" ht="34.5" customHeight="1" x14ac:dyDescent="0.25">
      <c r="A47" s="32" t="s">
        <v>82</v>
      </c>
      <c r="B47" s="14" t="s">
        <v>67</v>
      </c>
      <c r="C47" s="60">
        <f t="shared" ref="C47:E48" si="0">IF(C32=0,0,C42/C32)</f>
        <v>7.1729457309999994E-2</v>
      </c>
      <c r="D47" s="60">
        <f t="shared" si="0"/>
        <v>0</v>
      </c>
      <c r="E47" s="61">
        <f t="shared" si="0"/>
        <v>0</v>
      </c>
    </row>
    <row r="48" spans="1:5" ht="37.5" customHeight="1" x14ac:dyDescent="0.25">
      <c r="A48" s="13" t="s">
        <v>83</v>
      </c>
      <c r="B48" s="14" t="s">
        <v>69</v>
      </c>
      <c r="C48" s="60">
        <f t="shared" si="0"/>
        <v>0</v>
      </c>
      <c r="D48" s="60">
        <f t="shared" si="0"/>
        <v>0</v>
      </c>
      <c r="E48" s="61">
        <f t="shared" si="0"/>
        <v>0</v>
      </c>
    </row>
    <row r="49" spans="1:5" ht="24.95" customHeight="1" x14ac:dyDescent="0.25">
      <c r="A49" s="32" t="s">
        <v>84</v>
      </c>
      <c r="B49" s="14" t="s">
        <v>71</v>
      </c>
      <c r="C49" s="60">
        <f>IF(C34=0,0,C44/C34)</f>
        <v>7.1729457309999994E-2</v>
      </c>
      <c r="D49" s="60"/>
      <c r="E49" s="61"/>
    </row>
    <row r="50" spans="1:5" ht="24.95" customHeight="1" thickBot="1" x14ac:dyDescent="0.3">
      <c r="A50" s="4" t="s">
        <v>85</v>
      </c>
      <c r="B50" s="18" t="s">
        <v>73</v>
      </c>
      <c r="C50" s="62">
        <f>IF(C35=0,0,C45/C35)</f>
        <v>7.1729457309999994E-2</v>
      </c>
      <c r="D50" s="62"/>
      <c r="E50" s="63"/>
    </row>
    <row r="51" spans="1:5" ht="31.5" customHeight="1" thickBot="1" x14ac:dyDescent="0.3">
      <c r="A51" s="64" t="s">
        <v>86</v>
      </c>
      <c r="B51" s="65" t="s">
        <v>164</v>
      </c>
      <c r="C51" s="66">
        <v>64320.05</v>
      </c>
      <c r="D51" s="67" t="s">
        <v>23</v>
      </c>
      <c r="E51" s="68" t="s">
        <v>23</v>
      </c>
    </row>
    <row r="52" spans="1:5" ht="33.75" customHeight="1" x14ac:dyDescent="0.25">
      <c r="A52" s="8" t="s">
        <v>87</v>
      </c>
      <c r="B52" s="9" t="s">
        <v>88</v>
      </c>
      <c r="C52" s="171">
        <v>365</v>
      </c>
      <c r="D52" s="172"/>
      <c r="E52" s="173"/>
    </row>
    <row r="53" spans="1:5" ht="34.5" customHeight="1" x14ac:dyDescent="0.25">
      <c r="A53" s="13" t="s">
        <v>89</v>
      </c>
      <c r="B53" s="14" t="s">
        <v>90</v>
      </c>
      <c r="C53" s="174">
        <v>191</v>
      </c>
      <c r="D53" s="174"/>
      <c r="E53" s="175"/>
    </row>
    <row r="54" spans="1:5" ht="35.25" customHeight="1" x14ac:dyDescent="0.25">
      <c r="A54" s="13" t="s">
        <v>91</v>
      </c>
      <c r="B54" s="14" t="s">
        <v>92</v>
      </c>
      <c r="C54" s="174">
        <v>174</v>
      </c>
      <c r="D54" s="174"/>
      <c r="E54" s="175"/>
    </row>
    <row r="55" spans="1:5" ht="33.75" customHeight="1" x14ac:dyDescent="0.25">
      <c r="A55" s="13" t="s">
        <v>93</v>
      </c>
      <c r="B55" s="14" t="s">
        <v>94</v>
      </c>
      <c r="C55" s="174">
        <v>24</v>
      </c>
      <c r="D55" s="174"/>
      <c r="E55" s="175"/>
    </row>
    <row r="56" spans="1:5" ht="33" customHeight="1" x14ac:dyDescent="0.25">
      <c r="A56" s="13" t="s">
        <v>95</v>
      </c>
      <c r="B56" s="14" t="s">
        <v>96</v>
      </c>
      <c r="C56" s="174">
        <v>24</v>
      </c>
      <c r="D56" s="174"/>
      <c r="E56" s="175"/>
    </row>
    <row r="57" spans="1:5" ht="31.5" customHeight="1" x14ac:dyDescent="0.25">
      <c r="A57" s="13" t="s">
        <v>97</v>
      </c>
      <c r="B57" s="14" t="s">
        <v>98</v>
      </c>
      <c r="C57" s="174">
        <v>5</v>
      </c>
      <c r="D57" s="174"/>
      <c r="E57" s="175"/>
    </row>
    <row r="58" spans="1:5" ht="36" customHeight="1" thickBot="1" x14ac:dyDescent="0.3">
      <c r="A58" s="22" t="s">
        <v>99</v>
      </c>
      <c r="B58" s="23" t="s">
        <v>100</v>
      </c>
      <c r="C58" s="161">
        <v>15</v>
      </c>
      <c r="D58" s="161"/>
      <c r="E58" s="162"/>
    </row>
    <row r="59" spans="1:5" x14ac:dyDescent="0.25">
      <c r="A59" s="69"/>
      <c r="B59" s="70"/>
      <c r="C59" s="69"/>
      <c r="D59" s="69"/>
      <c r="E59" s="69"/>
    </row>
    <row r="60" spans="1:5" ht="30" x14ac:dyDescent="0.25">
      <c r="A60" s="71"/>
      <c r="B60" s="72" t="s">
        <v>162</v>
      </c>
      <c r="C60" s="71" t="s">
        <v>101</v>
      </c>
      <c r="D60" s="163" t="s">
        <v>102</v>
      </c>
      <c r="E60" s="163"/>
    </row>
    <row r="61" spans="1:5" x14ac:dyDescent="0.25">
      <c r="A61" s="71"/>
      <c r="B61" s="72"/>
      <c r="C61" s="71" t="s">
        <v>103</v>
      </c>
      <c r="D61" s="163" t="s">
        <v>104</v>
      </c>
      <c r="E61" s="163"/>
    </row>
    <row r="62" spans="1:5" ht="30" x14ac:dyDescent="0.25">
      <c r="A62" s="71"/>
      <c r="B62" s="72" t="s">
        <v>163</v>
      </c>
      <c r="C62" s="71" t="s">
        <v>101</v>
      </c>
      <c r="D62" s="71" t="s">
        <v>105</v>
      </c>
      <c r="E62" s="71" t="s">
        <v>105</v>
      </c>
    </row>
    <row r="63" spans="1:5" x14ac:dyDescent="0.25">
      <c r="A63" s="71"/>
      <c r="B63" s="72"/>
      <c r="C63" s="71" t="s">
        <v>106</v>
      </c>
      <c r="D63" s="71" t="s">
        <v>104</v>
      </c>
      <c r="E63" s="71" t="s">
        <v>107</v>
      </c>
    </row>
  </sheetData>
  <mergeCells count="15">
    <mergeCell ref="A1:E1"/>
    <mergeCell ref="A2:C2"/>
    <mergeCell ref="C58:E58"/>
    <mergeCell ref="D60:E60"/>
    <mergeCell ref="D61:E61"/>
    <mergeCell ref="A3:A4"/>
    <mergeCell ref="B3:B4"/>
    <mergeCell ref="C3:C4"/>
    <mergeCell ref="D3:E3"/>
    <mergeCell ref="C52:E52"/>
    <mergeCell ref="C53:E53"/>
    <mergeCell ref="C54:E54"/>
    <mergeCell ref="C55:E55"/>
    <mergeCell ref="C56:E56"/>
    <mergeCell ref="C57:E57"/>
  </mergeCells>
  <pageMargins left="0.7" right="0.7" top="0.75" bottom="0.75" header="0.3" footer="0.3"/>
  <pageSetup paperSize="9" scale="74" orientation="portrait" horizontalDpi="180" verticalDpi="180" r:id="rId1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view="pageBreakPreview" zoomScaleNormal="100" zoomScaleSheetLayoutView="100" workbookViewId="0">
      <selection sqref="A1:L2"/>
    </sheetView>
  </sheetViews>
  <sheetFormatPr defaultRowHeight="15" x14ac:dyDescent="0.25"/>
  <cols>
    <col min="1" max="1" width="4.5703125" customWidth="1"/>
    <col min="2" max="2" width="53.5703125" customWidth="1"/>
    <col min="3" max="3" width="12" customWidth="1"/>
    <col min="4" max="4" width="10.5703125" bestFit="1" customWidth="1"/>
    <col min="5" max="5" width="9.28515625" bestFit="1" customWidth="1"/>
    <col min="6" max="6" width="10.42578125" bestFit="1" customWidth="1"/>
    <col min="7" max="9" width="9.28515625" bestFit="1" customWidth="1"/>
    <col min="10" max="10" width="14.42578125" customWidth="1"/>
    <col min="11" max="11" width="19.42578125" customWidth="1"/>
    <col min="12" max="12" width="14.140625" customWidth="1"/>
    <col min="13" max="13" width="26.85546875" customWidth="1"/>
    <col min="15" max="15" width="9.28515625" bestFit="1" customWidth="1"/>
    <col min="16" max="16" width="10.42578125" bestFit="1" customWidth="1"/>
    <col min="17" max="17" width="9.28515625" bestFit="1" customWidth="1"/>
  </cols>
  <sheetData>
    <row r="1" spans="1:17" ht="24.95" customHeight="1" x14ac:dyDescent="0.25">
      <c r="A1" s="186" t="s">
        <v>109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76" t="s">
        <v>110</v>
      </c>
    </row>
    <row r="2" spans="1:17" ht="10.5" customHeight="1" x14ac:dyDescent="0.25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76"/>
    </row>
    <row r="3" spans="1:17" ht="24.95" customHeight="1" thickBot="1" x14ac:dyDescent="0.3">
      <c r="A3" s="178" t="s">
        <v>111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7"/>
    </row>
    <row r="4" spans="1:17" ht="24.95" customHeight="1" thickBot="1" x14ac:dyDescent="0.3">
      <c r="A4" s="179" t="s">
        <v>2</v>
      </c>
      <c r="B4" s="181" t="s">
        <v>112</v>
      </c>
      <c r="C4" s="179" t="s">
        <v>113</v>
      </c>
      <c r="D4" s="183" t="s">
        <v>114</v>
      </c>
      <c r="E4" s="166"/>
      <c r="F4" s="166"/>
      <c r="G4" s="166"/>
      <c r="H4" s="166"/>
      <c r="I4" s="166"/>
      <c r="J4" s="166"/>
      <c r="K4" s="166"/>
      <c r="L4" s="166"/>
      <c r="M4" s="184"/>
    </row>
    <row r="5" spans="1:17" ht="48.75" customHeight="1" x14ac:dyDescent="0.25">
      <c r="A5" s="180"/>
      <c r="B5" s="182"/>
      <c r="C5" s="180"/>
      <c r="D5" s="164" t="s">
        <v>115</v>
      </c>
      <c r="E5" s="168"/>
      <c r="F5" s="168"/>
      <c r="G5" s="168"/>
      <c r="H5" s="168"/>
      <c r="I5" s="185"/>
      <c r="J5" s="164" t="s">
        <v>116</v>
      </c>
      <c r="K5" s="170"/>
      <c r="L5" s="164" t="s">
        <v>117</v>
      </c>
      <c r="M5" s="170"/>
    </row>
    <row r="6" spans="1:17" ht="24.95" customHeight="1" x14ac:dyDescent="0.25">
      <c r="A6" s="180"/>
      <c r="B6" s="182"/>
      <c r="C6" s="180"/>
      <c r="D6" s="165" t="s">
        <v>118</v>
      </c>
      <c r="E6" s="169"/>
      <c r="F6" s="169" t="s">
        <v>5</v>
      </c>
      <c r="G6" s="169"/>
      <c r="H6" s="169"/>
      <c r="I6" s="191"/>
      <c r="J6" s="165" t="s">
        <v>155</v>
      </c>
      <c r="K6" s="192"/>
      <c r="L6" s="165" t="s">
        <v>118</v>
      </c>
      <c r="M6" s="192"/>
    </row>
    <row r="7" spans="1:17" ht="48" customHeight="1" x14ac:dyDescent="0.25">
      <c r="A7" s="180"/>
      <c r="B7" s="182"/>
      <c r="C7" s="180"/>
      <c r="D7" s="165"/>
      <c r="E7" s="169"/>
      <c r="F7" s="169" t="s">
        <v>119</v>
      </c>
      <c r="G7" s="169"/>
      <c r="H7" s="169" t="s">
        <v>120</v>
      </c>
      <c r="I7" s="191"/>
      <c r="J7" s="165"/>
      <c r="K7" s="192"/>
      <c r="L7" s="165"/>
      <c r="M7" s="192"/>
    </row>
    <row r="8" spans="1:17" ht="32.25" customHeight="1" x14ac:dyDescent="0.25">
      <c r="A8" s="180"/>
      <c r="B8" s="182"/>
      <c r="C8" s="73" t="s">
        <v>121</v>
      </c>
      <c r="D8" s="13" t="s">
        <v>121</v>
      </c>
      <c r="E8" s="2" t="s">
        <v>122</v>
      </c>
      <c r="F8" s="2" t="s">
        <v>121</v>
      </c>
      <c r="G8" s="2" t="s">
        <v>122</v>
      </c>
      <c r="H8" s="2" t="s">
        <v>121</v>
      </c>
      <c r="I8" s="74" t="s">
        <v>122</v>
      </c>
      <c r="J8" s="13" t="s">
        <v>121</v>
      </c>
      <c r="K8" s="3" t="s">
        <v>122</v>
      </c>
      <c r="L8" s="13" t="s">
        <v>121</v>
      </c>
      <c r="M8" s="3" t="s">
        <v>122</v>
      </c>
    </row>
    <row r="9" spans="1:17" ht="24.95" customHeight="1" x14ac:dyDescent="0.25">
      <c r="A9" s="73">
        <v>1</v>
      </c>
      <c r="B9" s="75">
        <v>2</v>
      </c>
      <c r="C9" s="73">
        <v>3</v>
      </c>
      <c r="D9" s="13">
        <v>8</v>
      </c>
      <c r="E9" s="2">
        <v>9</v>
      </c>
      <c r="F9" s="2">
        <v>10</v>
      </c>
      <c r="G9" s="2">
        <v>11</v>
      </c>
      <c r="H9" s="2">
        <v>12</v>
      </c>
      <c r="I9" s="74">
        <v>13</v>
      </c>
      <c r="J9" s="13">
        <v>4</v>
      </c>
      <c r="K9" s="3">
        <v>5</v>
      </c>
      <c r="L9" s="13">
        <v>6</v>
      </c>
      <c r="M9" s="3">
        <v>7</v>
      </c>
    </row>
    <row r="10" spans="1:17" ht="32.25" customHeight="1" x14ac:dyDescent="0.25">
      <c r="A10" s="76" t="s">
        <v>7</v>
      </c>
      <c r="B10" s="77" t="s">
        <v>123</v>
      </c>
      <c r="C10" s="135">
        <f>D10+J10+L10</f>
        <v>4957.6637809419899</v>
      </c>
      <c r="D10" s="136">
        <f t="shared" ref="D10:D17" si="0">F10+H10</f>
        <v>4512.1227899798969</v>
      </c>
      <c r="E10" s="137">
        <f>IF($D$24=0,0,D10/$D$24)</f>
        <v>6.6902064833036992</v>
      </c>
      <c r="F10" s="138">
        <f>F20*$D$22/1000</f>
        <v>4512.1227899798969</v>
      </c>
      <c r="G10" s="137">
        <f>IF($F$24=0,0,F10/$F$24)</f>
        <v>6.6902064833036992</v>
      </c>
      <c r="H10" s="139">
        <f>H20*$D$22/1000</f>
        <v>0</v>
      </c>
      <c r="I10" s="140">
        <f>IF($H$24=0,0,H10/$H$24)</f>
        <v>0</v>
      </c>
      <c r="J10" s="130">
        <f>J20*$J$22/1000</f>
        <v>272.39844717419345</v>
      </c>
      <c r="K10" s="133">
        <f>IF($J$24=0,0,J10/$J$24)</f>
        <v>6.6902064833037</v>
      </c>
      <c r="L10" s="130">
        <f>L20*$L$22/1000</f>
        <v>173.14254378789974</v>
      </c>
      <c r="M10" s="133">
        <f>IF($L$24=0,0,L10/$L$24)</f>
        <v>6.6902064833037</v>
      </c>
    </row>
    <row r="11" spans="1:17" ht="32.25" customHeight="1" x14ac:dyDescent="0.25">
      <c r="A11" s="76" t="s">
        <v>17</v>
      </c>
      <c r="B11" s="77" t="s">
        <v>124</v>
      </c>
      <c r="C11" s="135">
        <f>D11+J11+L11</f>
        <v>7951.2840900000001</v>
      </c>
      <c r="D11" s="136">
        <f t="shared" si="0"/>
        <v>7236.7090100000005</v>
      </c>
      <c r="E11" s="137">
        <f t="shared" ref="E11:E16" si="1">IF($D$24=0,0,D11/$D$24)</f>
        <v>10.73</v>
      </c>
      <c r="F11" s="138">
        <f>F26*F27</f>
        <v>7236.7090100000005</v>
      </c>
      <c r="G11" s="137">
        <f t="shared" ref="G11:G16" si="2">IF($F$24=0,0,F11/$F$24)</f>
        <v>10.73</v>
      </c>
      <c r="H11" s="139">
        <f>H26*H27</f>
        <v>0</v>
      </c>
      <c r="I11" s="140">
        <f t="shared" ref="I11:I16" si="3">IF($H$24=0,0,H11/$H$24)</f>
        <v>0</v>
      </c>
      <c r="J11" s="130">
        <f>J26*J27</f>
        <v>436.88268000000005</v>
      </c>
      <c r="K11" s="133">
        <f t="shared" ref="K11:K16" si="4">IF($J$24=0,0,J11/$J$24)</f>
        <v>10.73</v>
      </c>
      <c r="L11" s="130">
        <f>L26*L27</f>
        <v>277.69240000000002</v>
      </c>
      <c r="M11" s="133">
        <f t="shared" ref="M11:M16" si="5">IF($L$24=0,0,L11/$L$24)</f>
        <v>10.73</v>
      </c>
      <c r="O11">
        <f>C10/C24</f>
        <v>6.6902064833036992</v>
      </c>
      <c r="P11" s="158">
        <f>F10</f>
        <v>4512.1227899798969</v>
      </c>
      <c r="Q11">
        <f>P11/F24</f>
        <v>6.6902064833036992</v>
      </c>
    </row>
    <row r="12" spans="1:17" ht="18" customHeight="1" x14ac:dyDescent="0.25">
      <c r="A12" s="76" t="s">
        <v>19</v>
      </c>
      <c r="B12" s="77" t="s">
        <v>125</v>
      </c>
      <c r="C12" s="135">
        <f>D12+J12+L12</f>
        <v>67.505446572277563</v>
      </c>
      <c r="D12" s="136">
        <f t="shared" si="0"/>
        <v>61.438789999726275</v>
      </c>
      <c r="E12" s="137">
        <f t="shared" si="1"/>
        <v>9.1096410783699996E-2</v>
      </c>
      <c r="F12" s="141">
        <f>F13+F14</f>
        <v>61.438789999726275</v>
      </c>
      <c r="G12" s="137">
        <f t="shared" si="2"/>
        <v>9.1096410783699996E-2</v>
      </c>
      <c r="H12" s="137">
        <f>H13+H14</f>
        <v>0</v>
      </c>
      <c r="I12" s="140">
        <f t="shared" si="3"/>
        <v>0</v>
      </c>
      <c r="J12" s="136">
        <f>J13+J14</f>
        <v>3.709081461469129</v>
      </c>
      <c r="K12" s="133">
        <f t="shared" si="4"/>
        <v>9.1096410783699996E-2</v>
      </c>
      <c r="L12" s="136">
        <f>L13+L14</f>
        <v>2.3575751110821557</v>
      </c>
      <c r="M12" s="133">
        <f t="shared" si="5"/>
        <v>9.1096410783699996E-2</v>
      </c>
      <c r="P12" s="158">
        <f>J10</f>
        <v>272.39844717419345</v>
      </c>
      <c r="Q12">
        <f>P12/J24</f>
        <v>6.6902064833037</v>
      </c>
    </row>
    <row r="13" spans="1:17" ht="24.95" customHeight="1" x14ac:dyDescent="0.25">
      <c r="A13" s="76" t="s">
        <v>126</v>
      </c>
      <c r="B13" s="77" t="s">
        <v>127</v>
      </c>
      <c r="C13" s="135">
        <f>D13+J13+L13</f>
        <v>67.505446572277563</v>
      </c>
      <c r="D13" s="130">
        <f t="shared" si="0"/>
        <v>61.438789999726275</v>
      </c>
      <c r="E13" s="137">
        <f t="shared" si="1"/>
        <v>9.1096410783699996E-2</v>
      </c>
      <c r="F13" s="138">
        <f>F20*$D$23/1000</f>
        <v>61.438789999726275</v>
      </c>
      <c r="G13" s="137">
        <f t="shared" si="2"/>
        <v>9.1096410783699996E-2</v>
      </c>
      <c r="H13" s="139">
        <f>H20*$D$23/1000</f>
        <v>0</v>
      </c>
      <c r="I13" s="140">
        <f t="shared" si="3"/>
        <v>0</v>
      </c>
      <c r="J13" s="130">
        <f>J20*$J$23/1000</f>
        <v>3.709081461469129</v>
      </c>
      <c r="K13" s="133">
        <f t="shared" si="4"/>
        <v>9.1096410783699996E-2</v>
      </c>
      <c r="L13" s="130">
        <f>L20*$L$23/1000</f>
        <v>2.3575751110821557</v>
      </c>
      <c r="M13" s="133">
        <f t="shared" si="5"/>
        <v>9.1096410783699996E-2</v>
      </c>
      <c r="P13" s="158">
        <f>L10</f>
        <v>173.14254378789974</v>
      </c>
      <c r="Q13">
        <f>P13/L26</f>
        <v>6.6902064833037</v>
      </c>
    </row>
    <row r="14" spans="1:17" ht="34.5" customHeight="1" x14ac:dyDescent="0.25">
      <c r="A14" s="76" t="s">
        <v>128</v>
      </c>
      <c r="B14" s="77" t="s">
        <v>129</v>
      </c>
      <c r="C14" s="142">
        <f>C15+C16</f>
        <v>0</v>
      </c>
      <c r="D14" s="128">
        <f t="shared" si="0"/>
        <v>0</v>
      </c>
      <c r="E14" s="143">
        <f t="shared" si="1"/>
        <v>0</v>
      </c>
      <c r="F14" s="96">
        <f>F15+F16</f>
        <v>0</v>
      </c>
      <c r="G14" s="143">
        <f t="shared" si="2"/>
        <v>0</v>
      </c>
      <c r="H14" s="96">
        <f>H15+H16</f>
        <v>0</v>
      </c>
      <c r="I14" s="144">
        <f t="shared" si="3"/>
        <v>0</v>
      </c>
      <c r="J14" s="145">
        <f>J15+J16</f>
        <v>0</v>
      </c>
      <c r="K14" s="134">
        <f t="shared" si="4"/>
        <v>0</v>
      </c>
      <c r="L14" s="145">
        <f>L15+L16</f>
        <v>0</v>
      </c>
      <c r="M14" s="134">
        <f t="shared" si="5"/>
        <v>0</v>
      </c>
    </row>
    <row r="15" spans="1:17" ht="18.75" customHeight="1" x14ac:dyDescent="0.25">
      <c r="A15" s="76"/>
      <c r="B15" s="77" t="s">
        <v>130</v>
      </c>
      <c r="C15" s="146">
        <v>0</v>
      </c>
      <c r="D15" s="128">
        <f t="shared" si="0"/>
        <v>0</v>
      </c>
      <c r="E15" s="143">
        <f t="shared" si="1"/>
        <v>0</v>
      </c>
      <c r="F15" s="96">
        <f>IF($C$10+$C$11=0,0,$C$15*(F10+F11)/($C$10+$C$11))</f>
        <v>0</v>
      </c>
      <c r="G15" s="143">
        <f t="shared" si="2"/>
        <v>0</v>
      </c>
      <c r="H15" s="96">
        <f>IF($C$10+$C$11=0,0,$C$15*(H10+H11)/($C$10+$C$11))</f>
        <v>0</v>
      </c>
      <c r="I15" s="144">
        <f t="shared" si="3"/>
        <v>0</v>
      </c>
      <c r="J15" s="145">
        <f>IF($C$10+$C$11=0,0,$C$15*(J10+J11)/($C$10+$C$11))</f>
        <v>0</v>
      </c>
      <c r="K15" s="134">
        <f t="shared" si="4"/>
        <v>0</v>
      </c>
      <c r="L15" s="145">
        <f>IF($C$10+$C$11=0,0,$C$15*(L10+L11)/($C$10+$C$11))</f>
        <v>0</v>
      </c>
      <c r="M15" s="134">
        <f t="shared" si="5"/>
        <v>0</v>
      </c>
    </row>
    <row r="16" spans="1:17" ht="18.75" customHeight="1" x14ac:dyDescent="0.25">
      <c r="A16" s="76"/>
      <c r="B16" s="77" t="s">
        <v>131</v>
      </c>
      <c r="C16" s="146">
        <v>0</v>
      </c>
      <c r="D16" s="128">
        <f t="shared" si="0"/>
        <v>0</v>
      </c>
      <c r="E16" s="143">
        <f t="shared" si="1"/>
        <v>0</v>
      </c>
      <c r="F16" s="96">
        <f>IF($C$10+$C$11=0,0,C16*(F10+F11)/($C$10+$C$11))</f>
        <v>0</v>
      </c>
      <c r="G16" s="143">
        <f t="shared" si="2"/>
        <v>0</v>
      </c>
      <c r="H16" s="96">
        <f>IF($C$10+$C$11=0,0,C16*(H10+H11)/($C$10+$C$11))</f>
        <v>0</v>
      </c>
      <c r="I16" s="144">
        <f t="shared" si="3"/>
        <v>0</v>
      </c>
      <c r="J16" s="145">
        <f>IF($C$10+$C$11=0,0,C16*(J10+J11)/($C$10+$C$11))</f>
        <v>0</v>
      </c>
      <c r="K16" s="134">
        <f t="shared" si="4"/>
        <v>0</v>
      </c>
      <c r="L16" s="145">
        <f>IF($C$10+$C$11=0,0,C16*(L10+L11)/($C$10+$C$11))</f>
        <v>0</v>
      </c>
      <c r="M16" s="134">
        <f t="shared" si="5"/>
        <v>0</v>
      </c>
    </row>
    <row r="17" spans="1:16" ht="16.5" customHeight="1" x14ac:dyDescent="0.25">
      <c r="A17" s="76" t="s">
        <v>52</v>
      </c>
      <c r="B17" s="77" t="s">
        <v>132</v>
      </c>
      <c r="C17" s="147">
        <f>D17+J17+L17</f>
        <v>12976.453317514268</v>
      </c>
      <c r="D17" s="148">
        <f t="shared" si="0"/>
        <v>11810.270589979622</v>
      </c>
      <c r="E17" s="78" t="s">
        <v>133</v>
      </c>
      <c r="F17" s="139">
        <f>F10+F11+F12</f>
        <v>11810.270589979622</v>
      </c>
      <c r="G17" s="78" t="s">
        <v>133</v>
      </c>
      <c r="H17" s="139">
        <f>H10+H11+H12</f>
        <v>0</v>
      </c>
      <c r="I17" s="79" t="s">
        <v>133</v>
      </c>
      <c r="J17" s="130">
        <f>J10+J11+J12</f>
        <v>712.99020863566261</v>
      </c>
      <c r="K17" s="80" t="s">
        <v>133</v>
      </c>
      <c r="L17" s="130">
        <f>L10+L11+L12</f>
        <v>453.19251889898192</v>
      </c>
      <c r="M17" s="80" t="s">
        <v>133</v>
      </c>
    </row>
    <row r="18" spans="1:16" ht="17.25" customHeight="1" thickBot="1" x14ac:dyDescent="0.3">
      <c r="A18" s="81" t="s">
        <v>53</v>
      </c>
      <c r="B18" s="82" t="s">
        <v>134</v>
      </c>
      <c r="C18" s="83" t="s">
        <v>133</v>
      </c>
      <c r="D18" s="84" t="s">
        <v>133</v>
      </c>
      <c r="E18" s="149">
        <f>IF($D$24=0,0,$D$17/$D$24)</f>
        <v>17.511302894087397</v>
      </c>
      <c r="F18" s="85" t="s">
        <v>133</v>
      </c>
      <c r="G18" s="149">
        <f>IF($F$24=0,0,$F$17/$F$24)</f>
        <v>17.511302894087397</v>
      </c>
      <c r="H18" s="85" t="s">
        <v>133</v>
      </c>
      <c r="I18" s="150">
        <f>IF($H$24=0,0,$H$17/$H$24)</f>
        <v>0</v>
      </c>
      <c r="J18" s="84" t="s">
        <v>135</v>
      </c>
      <c r="K18" s="151">
        <f>IF($J$24=0,0,$J$17/$J$24)</f>
        <v>17.5113028940874</v>
      </c>
      <c r="L18" s="84" t="s">
        <v>135</v>
      </c>
      <c r="M18" s="151">
        <f>IF($L$24=0,0,$L$17/$L$24)</f>
        <v>17.5113028940874</v>
      </c>
    </row>
    <row r="19" spans="1:16" ht="24.75" customHeight="1" thickBot="1" x14ac:dyDescent="0.3">
      <c r="A19" s="193" t="s">
        <v>136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94"/>
    </row>
    <row r="20" spans="1:16" ht="19.5" customHeight="1" x14ac:dyDescent="0.25">
      <c r="A20" s="86" t="s">
        <v>7</v>
      </c>
      <c r="B20" s="87" t="s">
        <v>137</v>
      </c>
      <c r="C20" s="152">
        <f>J20+L20+D20</f>
        <v>53153.894938801226</v>
      </c>
      <c r="D20" s="153">
        <f>F20+H20</f>
        <v>48376.999999784464</v>
      </c>
      <c r="E20" s="88" t="s">
        <v>133</v>
      </c>
      <c r="F20" s="154">
        <f>ГВП!C42</f>
        <v>48376.999999784464</v>
      </c>
      <c r="G20" s="88" t="s">
        <v>133</v>
      </c>
      <c r="H20" s="154">
        <f>[1]ГВП!C43</f>
        <v>0</v>
      </c>
      <c r="I20" s="89" t="s">
        <v>133</v>
      </c>
      <c r="J20" s="127">
        <f>ГВП!C44</f>
        <v>2920.5365838339599</v>
      </c>
      <c r="K20" s="90" t="s">
        <v>133</v>
      </c>
      <c r="L20" s="127">
        <f>ГВП!C45</f>
        <v>1856.3583551827999</v>
      </c>
      <c r="M20" s="90" t="s">
        <v>133</v>
      </c>
      <c r="O20">
        <v>64320</v>
      </c>
      <c r="P20">
        <f>C20/O20*100-100</f>
        <v>-17.36023796828168</v>
      </c>
    </row>
    <row r="21" spans="1:16" ht="22.5" customHeight="1" x14ac:dyDescent="0.25">
      <c r="A21" s="91" t="s">
        <v>17</v>
      </c>
      <c r="B21" s="92" t="s">
        <v>138</v>
      </c>
      <c r="C21" s="80" t="s">
        <v>133</v>
      </c>
      <c r="D21" s="128">
        <f>D22+D23</f>
        <v>94.539999999999992</v>
      </c>
      <c r="E21" s="93" t="s">
        <v>133</v>
      </c>
      <c r="F21" s="93" t="s">
        <v>133</v>
      </c>
      <c r="G21" s="93" t="s">
        <v>133</v>
      </c>
      <c r="H21" s="93" t="s">
        <v>133</v>
      </c>
      <c r="I21" s="80" t="s">
        <v>133</v>
      </c>
      <c r="J21" s="128">
        <f>J22+J23</f>
        <v>94.539999999999992</v>
      </c>
      <c r="K21" s="94" t="s">
        <v>133</v>
      </c>
      <c r="L21" s="128">
        <f>L22+L23</f>
        <v>94.539999999999992</v>
      </c>
      <c r="M21" s="94" t="s">
        <v>133</v>
      </c>
    </row>
    <row r="22" spans="1:16" ht="19.5" customHeight="1" x14ac:dyDescent="0.25">
      <c r="A22" s="91" t="s">
        <v>139</v>
      </c>
      <c r="B22" s="92" t="s">
        <v>140</v>
      </c>
      <c r="C22" s="80" t="s">
        <v>133</v>
      </c>
      <c r="D22" s="129">
        <v>93.27</v>
      </c>
      <c r="E22" s="93" t="s">
        <v>133</v>
      </c>
      <c r="F22" s="93" t="s">
        <v>133</v>
      </c>
      <c r="G22" s="93" t="s">
        <v>133</v>
      </c>
      <c r="H22" s="93" t="s">
        <v>133</v>
      </c>
      <c r="I22" s="80" t="s">
        <v>133</v>
      </c>
      <c r="J22" s="129">
        <v>93.27</v>
      </c>
      <c r="K22" s="94" t="s">
        <v>133</v>
      </c>
      <c r="L22" s="129">
        <v>93.27</v>
      </c>
      <c r="M22" s="94" t="s">
        <v>133</v>
      </c>
    </row>
    <row r="23" spans="1:16" ht="18" customHeight="1" x14ac:dyDescent="0.25">
      <c r="A23" s="91" t="s">
        <v>141</v>
      </c>
      <c r="B23" s="92" t="s">
        <v>142</v>
      </c>
      <c r="C23" s="80" t="s">
        <v>133</v>
      </c>
      <c r="D23" s="129">
        <v>1.27</v>
      </c>
      <c r="E23" s="93" t="s">
        <v>133</v>
      </c>
      <c r="F23" s="93" t="s">
        <v>133</v>
      </c>
      <c r="G23" s="93" t="s">
        <v>133</v>
      </c>
      <c r="H23" s="93" t="s">
        <v>133</v>
      </c>
      <c r="I23" s="80" t="s">
        <v>133</v>
      </c>
      <c r="J23" s="129">
        <v>1.27</v>
      </c>
      <c r="K23" s="94" t="s">
        <v>133</v>
      </c>
      <c r="L23" s="129">
        <v>1.27</v>
      </c>
      <c r="M23" s="94" t="s">
        <v>133</v>
      </c>
    </row>
    <row r="24" spans="1:16" ht="17.25" customHeight="1" x14ac:dyDescent="0.25">
      <c r="A24" s="95" t="s">
        <v>19</v>
      </c>
      <c r="B24" s="92" t="s">
        <v>143</v>
      </c>
      <c r="C24" s="133">
        <f>D24+J24+L24</f>
        <v>741.03300000000002</v>
      </c>
      <c r="D24" s="130">
        <f>F24+H24</f>
        <v>674.43700000000001</v>
      </c>
      <c r="E24" s="93" t="s">
        <v>133</v>
      </c>
      <c r="F24" s="138">
        <f>[1]ГВП!C32/1000</f>
        <v>674.43700000000001</v>
      </c>
      <c r="G24" s="93" t="s">
        <v>133</v>
      </c>
      <c r="H24" s="138">
        <f>[1]ГВП!C33/1000</f>
        <v>0</v>
      </c>
      <c r="I24" s="80" t="s">
        <v>133</v>
      </c>
      <c r="J24" s="132">
        <f>[1]ГВП!C34/1000</f>
        <v>40.716000000000001</v>
      </c>
      <c r="K24" s="80" t="s">
        <v>135</v>
      </c>
      <c r="L24" s="132">
        <f>[1]ГВП!C35/1000</f>
        <v>25.88</v>
      </c>
      <c r="M24" s="80" t="s">
        <v>135</v>
      </c>
    </row>
    <row r="25" spans="1:16" ht="18.75" customHeight="1" x14ac:dyDescent="0.25">
      <c r="A25" s="91" t="s">
        <v>52</v>
      </c>
      <c r="B25" s="92" t="s">
        <v>144</v>
      </c>
      <c r="C25" s="80">
        <f>D25+J25+L25</f>
        <v>13105</v>
      </c>
      <c r="D25" s="155">
        <f>F25+H25</f>
        <v>12793</v>
      </c>
      <c r="E25" s="93" t="s">
        <v>133</v>
      </c>
      <c r="F25" s="156">
        <f>[1]ГВП!C7</f>
        <v>12793</v>
      </c>
      <c r="G25" s="93" t="s">
        <v>133</v>
      </c>
      <c r="H25" s="156">
        <f>[1]ГВП!C8</f>
        <v>0</v>
      </c>
      <c r="I25" s="80" t="s">
        <v>133</v>
      </c>
      <c r="J25" s="131">
        <f>ГВП!C9</f>
        <v>35</v>
      </c>
      <c r="K25" s="80" t="s">
        <v>135</v>
      </c>
      <c r="L25" s="131">
        <f>ГВП!C10</f>
        <v>277</v>
      </c>
      <c r="M25" s="80" t="s">
        <v>135</v>
      </c>
    </row>
    <row r="26" spans="1:16" ht="16.5" customHeight="1" x14ac:dyDescent="0.25">
      <c r="A26" s="91" t="s">
        <v>53</v>
      </c>
      <c r="B26" s="92" t="s">
        <v>145</v>
      </c>
      <c r="C26" s="134">
        <f>D26+J26+L26</f>
        <v>741.03300000000002</v>
      </c>
      <c r="D26" s="157">
        <f>F26+H26</f>
        <v>674.43700000000001</v>
      </c>
      <c r="E26" s="96" t="s">
        <v>133</v>
      </c>
      <c r="F26" s="138">
        <f>F24</f>
        <v>674.43700000000001</v>
      </c>
      <c r="G26" s="96" t="s">
        <v>133</v>
      </c>
      <c r="H26" s="138">
        <f>[1]ГВП!C38/1000</f>
        <v>0</v>
      </c>
      <c r="I26" s="97" t="s">
        <v>133</v>
      </c>
      <c r="J26" s="132">
        <f>J24</f>
        <v>40.716000000000001</v>
      </c>
      <c r="K26" s="125"/>
      <c r="L26" s="132">
        <f>L24</f>
        <v>25.88</v>
      </c>
      <c r="M26" s="125"/>
    </row>
    <row r="27" spans="1:16" ht="20.25" customHeight="1" x14ac:dyDescent="0.25">
      <c r="A27" s="91" t="s">
        <v>54</v>
      </c>
      <c r="B27" s="92" t="s">
        <v>146</v>
      </c>
      <c r="C27" s="94" t="s">
        <v>133</v>
      </c>
      <c r="D27" s="126">
        <v>10.73</v>
      </c>
      <c r="E27" s="93" t="s">
        <v>133</v>
      </c>
      <c r="F27" s="139">
        <f>D27</f>
        <v>10.73</v>
      </c>
      <c r="G27" s="93" t="s">
        <v>133</v>
      </c>
      <c r="H27" s="139">
        <f>D27</f>
        <v>10.73</v>
      </c>
      <c r="I27" s="94" t="s">
        <v>133</v>
      </c>
      <c r="J27" s="126">
        <v>10.73</v>
      </c>
      <c r="K27" s="94" t="s">
        <v>133</v>
      </c>
      <c r="L27" s="126">
        <v>10.73</v>
      </c>
      <c r="M27" s="94" t="s">
        <v>133</v>
      </c>
    </row>
    <row r="28" spans="1:16" ht="35.25" customHeight="1" thickBot="1" x14ac:dyDescent="0.3">
      <c r="A28" s="98" t="s">
        <v>55</v>
      </c>
      <c r="B28" s="99" t="s">
        <v>147</v>
      </c>
      <c r="C28" s="100" t="s">
        <v>133</v>
      </c>
      <c r="D28" s="101" t="s">
        <v>133</v>
      </c>
      <c r="E28" s="102">
        <f>IF(D24=0,0,D20/1000/D24)</f>
        <v>7.1729457309999994E-2</v>
      </c>
      <c r="F28" s="103" t="s">
        <v>133</v>
      </c>
      <c r="G28" s="102">
        <f>IF(F24=0,0,F20/1000/F24)</f>
        <v>7.1729457309999994E-2</v>
      </c>
      <c r="H28" s="103" t="s">
        <v>133</v>
      </c>
      <c r="I28" s="104">
        <f>IF(H24=0,0,H20/1000/H24)</f>
        <v>0</v>
      </c>
      <c r="J28" s="84" t="s">
        <v>135</v>
      </c>
      <c r="K28" s="104">
        <f>IF(J24=0,0,J20/1000/J24)</f>
        <v>7.1729457309999994E-2</v>
      </c>
      <c r="L28" s="84" t="s">
        <v>135</v>
      </c>
      <c r="M28" s="104">
        <f>IF(L24=0,0,L20/1000/L24)</f>
        <v>7.1729457309999994E-2</v>
      </c>
    </row>
    <row r="29" spans="1:16" ht="24.95" customHeight="1" thickBot="1" x14ac:dyDescent="0.3">
      <c r="A29" s="188" t="s">
        <v>148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90"/>
    </row>
    <row r="30" spans="1:16" ht="32.25" customHeight="1" x14ac:dyDescent="0.25">
      <c r="A30" s="105" t="s">
        <v>7</v>
      </c>
      <c r="B30" s="106" t="s">
        <v>149</v>
      </c>
      <c r="C30" s="89" t="s">
        <v>133</v>
      </c>
      <c r="D30" s="107" t="s">
        <v>133</v>
      </c>
      <c r="E30" s="108">
        <v>5.8999999999999997E-2</v>
      </c>
      <c r="F30" s="109" t="s">
        <v>133</v>
      </c>
      <c r="G30" s="108">
        <v>5.8999999999999997E-2</v>
      </c>
      <c r="H30" s="109" t="s">
        <v>133</v>
      </c>
      <c r="I30" s="110">
        <v>5.8999999999999997E-2</v>
      </c>
      <c r="J30" s="107" t="s">
        <v>135</v>
      </c>
      <c r="K30" s="111">
        <v>5.8999999999999997E-2</v>
      </c>
      <c r="L30" s="107" t="s">
        <v>135</v>
      </c>
      <c r="M30" s="111">
        <v>5.8999999999999997E-2</v>
      </c>
    </row>
    <row r="31" spans="1:16" ht="33" customHeight="1" x14ac:dyDescent="0.25">
      <c r="A31" s="76" t="s">
        <v>17</v>
      </c>
      <c r="B31" s="112" t="s">
        <v>150</v>
      </c>
      <c r="C31" s="80" t="s">
        <v>133</v>
      </c>
      <c r="D31" s="113" t="s">
        <v>133</v>
      </c>
      <c r="E31" s="114">
        <f>14.78/1.2</f>
        <v>12.316666666666666</v>
      </c>
      <c r="F31" s="78" t="s">
        <v>133</v>
      </c>
      <c r="G31" s="114">
        <f>14.78/1.2</f>
        <v>12.316666666666666</v>
      </c>
      <c r="H31" s="78" t="s">
        <v>133</v>
      </c>
      <c r="I31" s="115">
        <f>14.15/1.2</f>
        <v>11.791666666666668</v>
      </c>
      <c r="J31" s="113" t="s">
        <v>135</v>
      </c>
      <c r="K31" s="116">
        <v>0</v>
      </c>
      <c r="L31" s="113" t="s">
        <v>135</v>
      </c>
      <c r="M31" s="116">
        <v>0</v>
      </c>
    </row>
    <row r="32" spans="1:16" ht="44.25" customHeight="1" x14ac:dyDescent="0.25">
      <c r="A32" s="76" t="s">
        <v>19</v>
      </c>
      <c r="B32" s="112" t="s">
        <v>151</v>
      </c>
      <c r="C32" s="80" t="s">
        <v>133</v>
      </c>
      <c r="D32" s="113" t="s">
        <v>133</v>
      </c>
      <c r="E32" s="114">
        <f>56.04/1.2</f>
        <v>46.7</v>
      </c>
      <c r="F32" s="78" t="s">
        <v>133</v>
      </c>
      <c r="G32" s="78" t="s">
        <v>133</v>
      </c>
      <c r="H32" s="78" t="s">
        <v>133</v>
      </c>
      <c r="I32" s="80" t="s">
        <v>133</v>
      </c>
      <c r="J32" s="113" t="s">
        <v>135</v>
      </c>
      <c r="K32" s="116">
        <f>103.26/1.2</f>
        <v>86.050000000000011</v>
      </c>
      <c r="L32" s="113" t="s">
        <v>135</v>
      </c>
      <c r="M32" s="116">
        <f>103.26/1.2</f>
        <v>86.050000000000011</v>
      </c>
    </row>
    <row r="33" spans="1:13" ht="34.5" customHeight="1" thickBot="1" x14ac:dyDescent="0.3">
      <c r="A33" s="81" t="s">
        <v>52</v>
      </c>
      <c r="B33" s="99" t="s">
        <v>152</v>
      </c>
      <c r="C33" s="100" t="s">
        <v>133</v>
      </c>
      <c r="D33" s="84" t="s">
        <v>133</v>
      </c>
      <c r="E33" s="117">
        <f>E30*E32</f>
        <v>2.7553000000000001</v>
      </c>
      <c r="F33" s="85" t="s">
        <v>133</v>
      </c>
      <c r="G33" s="117">
        <v>0</v>
      </c>
      <c r="H33" s="85"/>
      <c r="I33" s="118">
        <v>0</v>
      </c>
      <c r="J33" s="84" t="s">
        <v>135</v>
      </c>
      <c r="K33" s="118">
        <f>K30*K32</f>
        <v>5.0769500000000001</v>
      </c>
      <c r="L33" s="84" t="s">
        <v>135</v>
      </c>
      <c r="M33" s="118">
        <f>M30*M32</f>
        <v>5.0769500000000001</v>
      </c>
    </row>
    <row r="34" spans="1:13" ht="24.95" customHeight="1" x14ac:dyDescent="0.25">
      <c r="A34" s="119"/>
      <c r="B34" s="120" t="s">
        <v>153</v>
      </c>
      <c r="C34" s="121"/>
      <c r="D34" s="121"/>
      <c r="E34" s="121"/>
      <c r="F34" s="121"/>
      <c r="G34" s="121"/>
      <c r="H34" s="121"/>
      <c r="I34" s="121"/>
      <c r="J34" s="121"/>
      <c r="K34" s="121"/>
      <c r="M34" s="121" t="s">
        <v>156</v>
      </c>
    </row>
    <row r="35" spans="1:13" ht="24.95" customHeight="1" x14ac:dyDescent="0.25">
      <c r="A35" s="119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ht="24.95" customHeight="1" x14ac:dyDescent="0.25">
      <c r="A36" s="119"/>
      <c r="B36" s="120" t="s">
        <v>157</v>
      </c>
      <c r="C36" s="121"/>
      <c r="D36" s="121"/>
      <c r="E36" s="121"/>
      <c r="F36" s="121"/>
      <c r="G36" s="121"/>
      <c r="I36" s="121"/>
      <c r="J36" s="121"/>
      <c r="K36" s="121"/>
      <c r="L36" s="121"/>
      <c r="M36" s="121" t="s">
        <v>154</v>
      </c>
    </row>
    <row r="37" spans="1:13" x14ac:dyDescent="0.25">
      <c r="A37" s="122"/>
      <c r="B37" s="123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</row>
  </sheetData>
  <mergeCells count="18">
    <mergeCell ref="A29:M29"/>
    <mergeCell ref="F6:I6"/>
    <mergeCell ref="J6:K7"/>
    <mergeCell ref="L6:M7"/>
    <mergeCell ref="F7:G7"/>
    <mergeCell ref="H7:I7"/>
    <mergeCell ref="A19:M19"/>
    <mergeCell ref="M1:M3"/>
    <mergeCell ref="A3:L3"/>
    <mergeCell ref="A4:A8"/>
    <mergeCell ref="B4:B8"/>
    <mergeCell ref="C4:C7"/>
    <mergeCell ref="D4:M4"/>
    <mergeCell ref="D5:I5"/>
    <mergeCell ref="J5:K5"/>
    <mergeCell ref="L5:M5"/>
    <mergeCell ref="D6:E7"/>
    <mergeCell ref="A1:L2"/>
  </mergeCells>
  <pageMargins left="0.86" right="0.70866141732283472" top="0.17" bottom="0.16" header="0.17" footer="0.31496062992125984"/>
  <pageSetup paperSize="9" scale="60" orientation="landscape" horizontalDpi="180" verticalDpi="180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ГВП</vt:lpstr>
      <vt:lpstr>Собівартість</vt:lpstr>
      <vt:lpstr>Собівартість!Область_печати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2017-12-08T08:46:48Z</dcterms:modified>
</cp:coreProperties>
</file>